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9195" tabRatio="932" firstSheet="61" activeTab="66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 (2)" sheetId="162" r:id="rId19"/>
    <sheet name="T6A_FG_Upy_Utlsn  (2)" sheetId="163" r:id="rId20"/>
    <sheet name="T6B_Pay_FG_FCI_Pry" sheetId="86" r:id="rId21"/>
    <sheet name="T6C_Coarse_Grain" sheetId="128" r:id="rId22"/>
    <sheet name="T7_CC_PY_Utlsn (2)" sheetId="164" r:id="rId23"/>
    <sheet name="T7ACC_UPY_Utlsn  (2)" sheetId="16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" sheetId="155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29" r:id="rId57"/>
    <sheet name="AT27A_Req_FG_CA_U Pry " sheetId="144" r:id="rId58"/>
    <sheet name="AT27B_Req_FG_CA_N CLP" sheetId="145" r:id="rId59"/>
    <sheet name="AT27C_Req_FG_Drought -Pry " sheetId="146" r:id="rId60"/>
    <sheet name="AT27D_Req_FG_Drought -UPry " sheetId="147" r:id="rId61"/>
    <sheet name="AT_28_RqmtKitchen" sheetId="62" r:id="rId62"/>
    <sheet name="AT-28A_RqmtPlinthArea" sheetId="78" r:id="rId63"/>
    <sheet name="AT-28B_Kitchen repair" sheetId="152" r:id="rId64"/>
    <sheet name="AT29_Replacement KD " sheetId="154" r:id="rId65"/>
    <sheet name="AT29_A_Replacement KD" sheetId="153" r:id="rId66"/>
    <sheet name="AT-30_Coook-cum-Helper" sheetId="65" r:id="rId67"/>
    <sheet name="AT_31_Budget_provision  (2)" sheetId="161" r:id="rId68"/>
    <sheet name="AT32_Drought Pry Util" sheetId="148" r:id="rId69"/>
    <sheet name="AT-32A Drought UPry Util" sheetId="149" r:id="rId70"/>
    <sheet name="Sheet2" sheetId="156" r:id="rId71"/>
    <sheet name="Sheet2 (2)" sheetId="159" r:id="rId72"/>
    <sheet name="Merger" sheetId="160" r:id="rId73"/>
    <sheet name="Proposal Regular" sheetId="157" r:id="rId74"/>
    <sheet name="Proposal Drought" sheetId="158" r:id="rId75"/>
  </sheets>
  <definedNames>
    <definedName name="_xlnm.Print_Area" localSheetId="43">'AT_17_Coverage-RBSK '!$A$1:$L$44</definedName>
    <definedName name="_xlnm.Print_Area" localSheetId="45">AT_19_Impl_Agency!$A$1:$J$48</definedName>
    <definedName name="_xlnm.Print_Area" localSheetId="46">'AT_20_CentralCookingagency '!$A$1:$M$46</definedName>
    <definedName name="_xlnm.Print_Area" localSheetId="61">AT_28_RqmtKitchen!$A$1:$R$41</definedName>
    <definedName name="_xlnm.Print_Area" localSheetId="5">AT_2A_fundflow!$A$1:$V$29</definedName>
    <definedName name="_xlnm.Print_Area" localSheetId="67">'AT_31_Budget_provision  (2)'!$A$1:$W$37</definedName>
    <definedName name="_xlnm.Print_Area" localSheetId="29">'AT-10 B'!$A$1:$I$43</definedName>
    <definedName name="_xlnm.Print_Area" localSheetId="30">'AT-10 C'!$A$1:$J$40</definedName>
    <definedName name="_xlnm.Print_Area" localSheetId="32">'AT-10 E'!$A$1:$H$40</definedName>
    <definedName name="_xlnm.Print_Area" localSheetId="33">'AT-10 F'!$A$1:$H$40</definedName>
    <definedName name="_xlnm.Print_Area" localSheetId="27">AT10_MME!$A$1:$H$33</definedName>
    <definedName name="_xlnm.Print_Area" localSheetId="28">AT10A_!$A$1:$E$43</definedName>
    <definedName name="_xlnm.Print_Area" localSheetId="31">'AT-10D'!$A$1:$H$36</definedName>
    <definedName name="_xlnm.Print_Area" localSheetId="34">'AT11_KS Year wise'!$A$1:$K$33</definedName>
    <definedName name="_xlnm.Print_Area" localSheetId="35">'AT11A_KS-District wise'!$A$1:$K$44</definedName>
    <definedName name="_xlnm.Print_Area" localSheetId="36">'AT12_KD-New'!$A$1:$K$45</definedName>
    <definedName name="_xlnm.Print_Area" localSheetId="37">'AT12A_KD-Replacement'!$A$1:$K$45</definedName>
    <definedName name="_xlnm.Print_Area" localSheetId="39">'AT-14'!$A$1:$N$39</definedName>
    <definedName name="_xlnm.Print_Area" localSheetId="40">'AT-14 A'!$A$1:$H$41</definedName>
    <definedName name="_xlnm.Print_Area" localSheetId="41">'AT-15'!$A$1:$L$40</definedName>
    <definedName name="_xlnm.Print_Area" localSheetId="42">'AT-16'!$A$1:$K$40</definedName>
    <definedName name="_xlnm.Print_Area" localSheetId="44">'AT18_Details_Community '!$A$1:$F$42</definedName>
    <definedName name="_xlnm.Print_Area" localSheetId="3">'AT-1-Gen_Info '!$A$1:$T$56</definedName>
    <definedName name="_xlnm.Print_Area" localSheetId="47">'AT-21'!$A$1:$K$42</definedName>
    <definedName name="_xlnm.Print_Area" localSheetId="48">'AT-22'!$A$1:$O$39</definedName>
    <definedName name="_xlnm.Print_Area" localSheetId="49">'AT-23 MIS'!$A$1:$P$42</definedName>
    <definedName name="_xlnm.Print_Area" localSheetId="50">'AT-23A _AMS'!$A$1:$P$48</definedName>
    <definedName name="_xlnm.Print_Area" localSheetId="51">'AT-24'!$A$1:$M$43</definedName>
    <definedName name="_xlnm.Print_Area" localSheetId="52">'AT-25'!$A$1:$F$48</definedName>
    <definedName name="_xlnm.Print_Area" localSheetId="54">AT26_NoWD!$A$1:$L$31</definedName>
    <definedName name="_xlnm.Print_Area" localSheetId="55">AT26A_NoWD!$A$1:$K$32</definedName>
    <definedName name="_xlnm.Print_Area" localSheetId="56">AT27_Req_FG_CA_Pry!$A$1:$T$45</definedName>
    <definedName name="_xlnm.Print_Area" localSheetId="57">'AT27A_Req_FG_CA_U Pry '!$A$1:$T$44</definedName>
    <definedName name="_xlnm.Print_Area" localSheetId="58">'AT27B_Req_FG_CA_N CLP'!$A$1:$P$42</definedName>
    <definedName name="_xlnm.Print_Area" localSheetId="59">'AT27C_Req_FG_Drought -Pry '!$A$1:$P$42</definedName>
    <definedName name="_xlnm.Print_Area" localSheetId="60">'AT27D_Req_FG_Drought -UPry '!$A$1:$P$42</definedName>
    <definedName name="_xlnm.Print_Area" localSheetId="62">'AT-28A_RqmtPlinthArea'!$A$1:$S$43</definedName>
    <definedName name="_xlnm.Print_Area" localSheetId="63">'AT-28B_Kitchen repair'!$A$1:$G$42</definedName>
    <definedName name="_xlnm.Print_Area" localSheetId="65">'AT29_A_Replacement KD'!$A$1:$V$42</definedName>
    <definedName name="_xlnm.Print_Area" localSheetId="64">'AT29_Replacement KD '!$A$1:$V$43</definedName>
    <definedName name="_xlnm.Print_Area" localSheetId="4">'AT-2-S1 BUDGET'!$A$1:$V$34</definedName>
    <definedName name="_xlnm.Print_Area" localSheetId="6">'AT-3'!$A$1:$H$40</definedName>
    <definedName name="_xlnm.Print_Area" localSheetId="66">'AT-30_Coook-cum-Helper'!$A$1:$L$43</definedName>
    <definedName name="_xlnm.Print_Area" localSheetId="68">'AT32_Drought Pry Util'!$A$1:$L$43</definedName>
    <definedName name="_xlnm.Print_Area" localSheetId="69">'AT-32A Drought UPry Util'!$A$1:$L$43</definedName>
    <definedName name="_xlnm.Print_Area" localSheetId="7">'AT3A_cvrg(Insti)_PY'!$A$1:$N$47</definedName>
    <definedName name="_xlnm.Print_Area" localSheetId="8">'AT3B_cvrg(Insti)_UPY '!$A$1:$N$46</definedName>
    <definedName name="_xlnm.Print_Area" localSheetId="9">'AT3C_cvrg(Insti)_UPY '!$A$1:$N$46</definedName>
    <definedName name="_xlnm.Print_Area" localSheetId="12">'AT-4B'!$A$1:$G$40</definedName>
    <definedName name="_xlnm.Print_Area" localSheetId="24">'AT-8_Hon_CCH_Pry'!$A$1:$V$45</definedName>
    <definedName name="_xlnm.Print_Area" localSheetId="25">'AT-8A_Hon_CCH_UPry'!$A$1:$V$44</definedName>
    <definedName name="_xlnm.Print_Area" localSheetId="26">AT9_TA!$A$1:$I$44</definedName>
    <definedName name="_xlnm.Print_Area" localSheetId="1">Contents!$A$1:$C$68</definedName>
    <definedName name="_xlnm.Print_Area" localSheetId="10">'enrolment vs availed_PY'!$A$1:$Q$47</definedName>
    <definedName name="_xlnm.Print_Area" localSheetId="11">'enrolment vs availed_UPY'!$A$1:$Q$48</definedName>
    <definedName name="_xlnm.Print_Area" localSheetId="0">'First-Page'!$A$1:$O$42</definedName>
    <definedName name="_xlnm.Print_Area" localSheetId="72">Merger!$A$1:$E$40</definedName>
    <definedName name="_xlnm.Print_Area" localSheetId="38">'Mode of cooking'!$A$1:$H$40</definedName>
    <definedName name="_xlnm.Print_Area" localSheetId="2">Sheet1!$A$1:$J$24</definedName>
    <definedName name="_xlnm.Print_Area" localSheetId="53">'Sheet1 (2)'!$A$1:$J$24</definedName>
    <definedName name="_xlnm.Print_Area" localSheetId="70">Sheet2!$A$1:$E$35</definedName>
    <definedName name="_xlnm.Print_Area" localSheetId="13">T5_PLAN_vs_PRFM!$A$1:$J$49</definedName>
    <definedName name="_xlnm.Print_Area" localSheetId="14">'T5A_PLAN_vs_PRFM '!$A$1:$J$43</definedName>
    <definedName name="_xlnm.Print_Area" localSheetId="15">'T5B_PLAN_vs_PRFM  (2)'!$A$1:$J$43</definedName>
    <definedName name="_xlnm.Print_Area" localSheetId="16">'T5C_Drought_PLAN_vs_PRFM '!$A$1:$J$44</definedName>
    <definedName name="_xlnm.Print_Area" localSheetId="17">'T5D_Drought_PLAN_vs_PRFM  '!$A$1:$J$44</definedName>
    <definedName name="_xlnm.Print_Area" localSheetId="18">'T6_FG_py_Utlsn (2)'!$A$1:$L$46</definedName>
    <definedName name="_xlnm.Print_Area" localSheetId="19">'T6A_FG_Upy_Utlsn  (2)'!$A$1:$L$43</definedName>
    <definedName name="_xlnm.Print_Area" localSheetId="20">T6B_Pay_FG_FCI_Pry!$A$1:$M$43</definedName>
    <definedName name="_xlnm.Print_Area" localSheetId="21">T6C_Coarse_Grain!$A$1:$L$44</definedName>
    <definedName name="_xlnm.Print_Area" localSheetId="22">'T7_CC_PY_Utlsn (2)'!$A$1:$Q$47</definedName>
    <definedName name="_xlnm.Print_Area" localSheetId="23">'T7ACC_UPY_Utlsn  (2)'!$A$1:$Q$45</definedName>
  </definedNames>
  <calcPr calcId="145621"/>
</workbook>
</file>

<file path=xl/calcChain.xml><?xml version="1.0" encoding="utf-8"?>
<calcChain xmlns="http://schemas.openxmlformats.org/spreadsheetml/2006/main">
  <c r="D40" i="26" l="1"/>
  <c r="E40" i="26"/>
  <c r="F40" i="26"/>
  <c r="C40" i="26"/>
  <c r="D39" i="26"/>
  <c r="E39" i="26"/>
  <c r="F39" i="26"/>
  <c r="C39" i="26"/>
  <c r="C27" i="115"/>
  <c r="C28" i="14"/>
  <c r="C38" i="13"/>
  <c r="P40" i="88"/>
  <c r="D40" i="88"/>
  <c r="Q43" i="164"/>
  <c r="N43" i="164"/>
  <c r="K43" i="164"/>
  <c r="H43" i="164"/>
  <c r="D43" i="164"/>
  <c r="D42" i="164"/>
  <c r="E42" i="164"/>
  <c r="F42" i="164"/>
  <c r="G42" i="164"/>
  <c r="H42" i="164"/>
  <c r="I42" i="164"/>
  <c r="J42" i="164"/>
  <c r="K42" i="164"/>
  <c r="L42" i="164"/>
  <c r="M42" i="164"/>
  <c r="N42" i="164"/>
  <c r="O42" i="164"/>
  <c r="P42" i="164"/>
  <c r="Q42" i="164"/>
  <c r="C42" i="164"/>
  <c r="D41" i="164"/>
  <c r="E41" i="164"/>
  <c r="F41" i="164"/>
  <c r="G41" i="164"/>
  <c r="H41" i="164"/>
  <c r="I41" i="164"/>
  <c r="J41" i="164"/>
  <c r="K41" i="164"/>
  <c r="L41" i="164"/>
  <c r="M41" i="164"/>
  <c r="N41" i="164"/>
  <c r="O41" i="164"/>
  <c r="P41" i="164"/>
  <c r="Q41" i="164"/>
  <c r="C41" i="164"/>
  <c r="E41" i="162"/>
  <c r="F41" i="162"/>
  <c r="G41" i="162"/>
  <c r="D41" i="162"/>
  <c r="D40" i="162"/>
  <c r="E40" i="162"/>
  <c r="F40" i="162"/>
  <c r="G40" i="162"/>
  <c r="C40" i="162"/>
  <c r="D39" i="162"/>
  <c r="E39" i="162"/>
  <c r="F39" i="162"/>
  <c r="G39" i="162"/>
  <c r="C39" i="162"/>
  <c r="J42" i="4"/>
  <c r="J40" i="4"/>
  <c r="J39" i="4"/>
  <c r="J41" i="4"/>
  <c r="D40" i="4"/>
  <c r="D39" i="4"/>
  <c r="D41" i="4"/>
  <c r="K18" i="121"/>
  <c r="K26" i="121"/>
  <c r="K34" i="121"/>
  <c r="C16" i="14"/>
  <c r="N28" i="47"/>
  <c r="D28" i="47"/>
  <c r="N28" i="60"/>
  <c r="D28" i="60"/>
  <c r="K25" i="115"/>
  <c r="K36" i="16"/>
  <c r="C14" i="86"/>
  <c r="C15" i="86"/>
  <c r="C16" i="86"/>
  <c r="C17" i="86"/>
  <c r="C18" i="86"/>
  <c r="C19" i="86"/>
  <c r="C20" i="86"/>
  <c r="C21" i="86"/>
  <c r="C22" i="86"/>
  <c r="C24" i="86"/>
  <c r="C27" i="86"/>
  <c r="C28" i="86"/>
  <c r="C30" i="86"/>
  <c r="C31" i="86"/>
  <c r="C32" i="86"/>
  <c r="C33" i="86"/>
  <c r="C34" i="86"/>
  <c r="C35" i="86"/>
  <c r="C36" i="86"/>
  <c r="C13" i="86"/>
  <c r="Q11" i="62"/>
  <c r="Q12" i="62"/>
  <c r="Q13" i="62"/>
  <c r="Q14" i="62"/>
  <c r="Q15" i="62"/>
  <c r="Q35" i="62"/>
  <c r="Q16" i="62"/>
  <c r="Q17" i="62"/>
  <c r="Q18" i="62"/>
  <c r="Q19" i="62"/>
  <c r="Q20" i="62"/>
  <c r="Q21" i="62"/>
  <c r="Q22" i="62"/>
  <c r="Q23" i="62"/>
  <c r="Q24" i="62"/>
  <c r="Q25" i="62"/>
  <c r="Q26" i="62"/>
  <c r="Q27" i="62"/>
  <c r="Q28" i="62"/>
  <c r="Q29" i="62"/>
  <c r="Q30" i="62"/>
  <c r="Q31" i="62"/>
  <c r="Q32" i="62"/>
  <c r="Q33" i="62"/>
  <c r="Q34" i="62"/>
  <c r="O31" i="62"/>
  <c r="C12" i="62"/>
  <c r="O12" i="62"/>
  <c r="R12" i="62"/>
  <c r="D12" i="62"/>
  <c r="P12" i="62"/>
  <c r="C13" i="62"/>
  <c r="D13" i="62"/>
  <c r="C14" i="62"/>
  <c r="D14" i="62"/>
  <c r="P14" i="62"/>
  <c r="C15" i="62"/>
  <c r="O15" i="62"/>
  <c r="D15" i="62"/>
  <c r="C16" i="62"/>
  <c r="O16" i="62"/>
  <c r="D16" i="62"/>
  <c r="P16" i="62"/>
  <c r="C17" i="62"/>
  <c r="O17" i="62"/>
  <c r="D17" i="62"/>
  <c r="F17" i="62"/>
  <c r="C18" i="62"/>
  <c r="O18" i="62"/>
  <c r="R18" i="62"/>
  <c r="D18" i="62"/>
  <c r="P18" i="62"/>
  <c r="C19" i="62"/>
  <c r="D19" i="62"/>
  <c r="P19" i="62"/>
  <c r="C20" i="62"/>
  <c r="O20" i="62"/>
  <c r="R20" i="62"/>
  <c r="D20" i="62"/>
  <c r="P20" i="62"/>
  <c r="C21" i="62"/>
  <c r="O21" i="62"/>
  <c r="D21" i="62"/>
  <c r="P21" i="62"/>
  <c r="C22" i="62"/>
  <c r="O22" i="62"/>
  <c r="D22" i="62"/>
  <c r="P22" i="62"/>
  <c r="C23" i="62"/>
  <c r="F23" i="62"/>
  <c r="D23" i="62"/>
  <c r="C24" i="62"/>
  <c r="D24" i="62"/>
  <c r="P24" i="62"/>
  <c r="C25" i="62"/>
  <c r="D25" i="62"/>
  <c r="C26" i="62"/>
  <c r="D26" i="62"/>
  <c r="P26" i="62"/>
  <c r="C27" i="62"/>
  <c r="O27" i="62"/>
  <c r="D27" i="62"/>
  <c r="P27" i="62"/>
  <c r="C28" i="62"/>
  <c r="D28" i="62"/>
  <c r="P28" i="62"/>
  <c r="C29" i="62"/>
  <c r="O29" i="62"/>
  <c r="D29" i="62"/>
  <c r="F29" i="62"/>
  <c r="C30" i="62"/>
  <c r="O30" i="62"/>
  <c r="D30" i="62"/>
  <c r="P30" i="62"/>
  <c r="C31" i="62"/>
  <c r="D31" i="62"/>
  <c r="F31" i="62"/>
  <c r="C32" i="62"/>
  <c r="O32" i="62"/>
  <c r="D32" i="62"/>
  <c r="P32" i="62"/>
  <c r="C33" i="62"/>
  <c r="O33" i="62"/>
  <c r="D33" i="62"/>
  <c r="P33" i="62"/>
  <c r="C34" i="62"/>
  <c r="O34" i="62"/>
  <c r="D34" i="62"/>
  <c r="P34" i="62"/>
  <c r="D11" i="62"/>
  <c r="P11" i="62"/>
  <c r="C11" i="62"/>
  <c r="O11" i="62"/>
  <c r="F34" i="62"/>
  <c r="H36" i="119"/>
  <c r="I36" i="119"/>
  <c r="I10" i="142"/>
  <c r="I11" i="142"/>
  <c r="I12" i="142"/>
  <c r="I13" i="142"/>
  <c r="I14" i="142"/>
  <c r="I15" i="142"/>
  <c r="I16" i="142"/>
  <c r="I17" i="142"/>
  <c r="I18" i="142"/>
  <c r="I19" i="142"/>
  <c r="I20" i="142"/>
  <c r="I21" i="142"/>
  <c r="I22" i="142"/>
  <c r="I23" i="142"/>
  <c r="I24" i="142"/>
  <c r="I25" i="142"/>
  <c r="I26" i="142"/>
  <c r="I27" i="142"/>
  <c r="I28" i="142"/>
  <c r="I29" i="142"/>
  <c r="I30" i="142"/>
  <c r="I31" i="142"/>
  <c r="I32" i="142"/>
  <c r="I9" i="142"/>
  <c r="K15" i="164"/>
  <c r="K16" i="164"/>
  <c r="K17" i="164"/>
  <c r="K18" i="164"/>
  <c r="K19" i="164"/>
  <c r="K20" i="164"/>
  <c r="K21" i="164"/>
  <c r="K22" i="164"/>
  <c r="K23" i="164"/>
  <c r="K24" i="164"/>
  <c r="K25" i="164"/>
  <c r="K26" i="164"/>
  <c r="K27" i="164"/>
  <c r="K28" i="164"/>
  <c r="K29" i="164"/>
  <c r="K30" i="164"/>
  <c r="K31" i="164"/>
  <c r="K32" i="164"/>
  <c r="Q32" i="164"/>
  <c r="K33" i="164"/>
  <c r="K34" i="164"/>
  <c r="K35" i="164"/>
  <c r="K36" i="164"/>
  <c r="K37" i="164"/>
  <c r="K14" i="164"/>
  <c r="C33" i="108"/>
  <c r="E33" i="108"/>
  <c r="F33" i="108"/>
  <c r="L33" i="108"/>
  <c r="M33" i="108"/>
  <c r="N33" i="108"/>
  <c r="O33" i="108"/>
  <c r="C33" i="105"/>
  <c r="D33" i="105"/>
  <c r="E33" i="105"/>
  <c r="F33" i="105"/>
  <c r="G33" i="105"/>
  <c r="I33" i="105"/>
  <c r="G27" i="161"/>
  <c r="H26" i="161"/>
  <c r="K26" i="161"/>
  <c r="W26" i="161"/>
  <c r="G26" i="161"/>
  <c r="F26" i="161"/>
  <c r="I26" i="161"/>
  <c r="U26" i="161"/>
  <c r="E26" i="161"/>
  <c r="D26" i="161"/>
  <c r="J26" i="161"/>
  <c r="V26" i="161"/>
  <c r="C26" i="161"/>
  <c r="L35" i="65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39" i="16"/>
  <c r="V63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T54" i="16"/>
  <c r="T55" i="16"/>
  <c r="T56" i="16"/>
  <c r="T57" i="16"/>
  <c r="T58" i="16"/>
  <c r="T59" i="16"/>
  <c r="T60" i="16"/>
  <c r="T61" i="16"/>
  <c r="T62" i="16"/>
  <c r="T39" i="16"/>
  <c r="T63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39" i="16"/>
  <c r="AA63" i="16"/>
  <c r="Y63" i="16"/>
  <c r="X63" i="16"/>
  <c r="W63" i="16"/>
  <c r="U63" i="16"/>
  <c r="S63" i="16"/>
  <c r="Q63" i="16"/>
  <c r="R63" i="16"/>
  <c r="O63" i="16"/>
  <c r="M63" i="16"/>
  <c r="Z62" i="16"/>
  <c r="X62" i="16"/>
  <c r="R62" i="16"/>
  <c r="P62" i="16"/>
  <c r="N62" i="16"/>
  <c r="AB62" i="16"/>
  <c r="Z61" i="16"/>
  <c r="X61" i="16"/>
  <c r="R61" i="16"/>
  <c r="P61" i="16"/>
  <c r="AB61" i="16"/>
  <c r="N61" i="16"/>
  <c r="Z60" i="16"/>
  <c r="X60" i="16"/>
  <c r="R60" i="16"/>
  <c r="P60" i="16"/>
  <c r="N60" i="16"/>
  <c r="Z59" i="16"/>
  <c r="X59" i="16"/>
  <c r="R59" i="16"/>
  <c r="P59" i="16"/>
  <c r="N59" i="16"/>
  <c r="Z58" i="16"/>
  <c r="X58" i="16"/>
  <c r="R58" i="16"/>
  <c r="P58" i="16"/>
  <c r="N58" i="16"/>
  <c r="Z57" i="16"/>
  <c r="X57" i="16"/>
  <c r="R57" i="16"/>
  <c r="P57" i="16"/>
  <c r="N57" i="16"/>
  <c r="Z56" i="16"/>
  <c r="X56" i="16"/>
  <c r="R56" i="16"/>
  <c r="P56" i="16"/>
  <c r="N56" i="16"/>
  <c r="Z55" i="16"/>
  <c r="X55" i="16"/>
  <c r="R55" i="16"/>
  <c r="P55" i="16"/>
  <c r="N55" i="16"/>
  <c r="Z54" i="16"/>
  <c r="X54" i="16"/>
  <c r="R54" i="16"/>
  <c r="P54" i="16"/>
  <c r="N54" i="16"/>
  <c r="AB54" i="16"/>
  <c r="Z53" i="16"/>
  <c r="X53" i="16"/>
  <c r="R53" i="16"/>
  <c r="P53" i="16"/>
  <c r="N53" i="16"/>
  <c r="Z52" i="16"/>
  <c r="X52" i="16"/>
  <c r="R52" i="16"/>
  <c r="P52" i="16"/>
  <c r="N52" i="16"/>
  <c r="Z51" i="16"/>
  <c r="X51" i="16"/>
  <c r="R51" i="16"/>
  <c r="P51" i="16"/>
  <c r="N51" i="16"/>
  <c r="Z50" i="16"/>
  <c r="X50" i="16"/>
  <c r="R50" i="16"/>
  <c r="P50" i="16"/>
  <c r="N50" i="16"/>
  <c r="AB50" i="16"/>
  <c r="Z49" i="16"/>
  <c r="X49" i="16"/>
  <c r="R49" i="16"/>
  <c r="P49" i="16"/>
  <c r="N49" i="16"/>
  <c r="Z48" i="16"/>
  <c r="X48" i="16"/>
  <c r="R48" i="16"/>
  <c r="P48" i="16"/>
  <c r="N48" i="16"/>
  <c r="Z47" i="16"/>
  <c r="X47" i="16"/>
  <c r="R47" i="16"/>
  <c r="P47" i="16"/>
  <c r="N47" i="16"/>
  <c r="Z46" i="16"/>
  <c r="X46" i="16"/>
  <c r="R46" i="16"/>
  <c r="P46" i="16"/>
  <c r="N46" i="16"/>
  <c r="Z45" i="16"/>
  <c r="X45" i="16"/>
  <c r="R45" i="16"/>
  <c r="P45" i="16"/>
  <c r="N45" i="16"/>
  <c r="Z44" i="16"/>
  <c r="X44" i="16"/>
  <c r="R44" i="16"/>
  <c r="P44" i="16"/>
  <c r="N44" i="16"/>
  <c r="Z43" i="16"/>
  <c r="X43" i="16"/>
  <c r="R43" i="16"/>
  <c r="P43" i="16"/>
  <c r="N43" i="16"/>
  <c r="Z42" i="16"/>
  <c r="Z63" i="16"/>
  <c r="X42" i="16"/>
  <c r="R42" i="16"/>
  <c r="P42" i="16"/>
  <c r="N42" i="16"/>
  <c r="AB42" i="16"/>
  <c r="Z41" i="16"/>
  <c r="X41" i="16"/>
  <c r="R41" i="16"/>
  <c r="P41" i="16"/>
  <c r="N41" i="16"/>
  <c r="Z40" i="16"/>
  <c r="X40" i="16"/>
  <c r="R40" i="16"/>
  <c r="P40" i="16"/>
  <c r="N40" i="16"/>
  <c r="Z39" i="16"/>
  <c r="X39" i="16"/>
  <c r="R39" i="16"/>
  <c r="P39" i="16"/>
  <c r="N39" i="16"/>
  <c r="AB35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12" i="16"/>
  <c r="Z36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12" i="16"/>
  <c r="Y36" i="16"/>
  <c r="W36" i="16"/>
  <c r="V13" i="16"/>
  <c r="V14" i="16"/>
  <c r="V15" i="16"/>
  <c r="V16" i="16"/>
  <c r="AB16" i="16"/>
  <c r="V17" i="16"/>
  <c r="V18" i="16"/>
  <c r="AB18" i="16"/>
  <c r="V19" i="16"/>
  <c r="V20" i="16"/>
  <c r="V21" i="16"/>
  <c r="V22" i="16"/>
  <c r="V23" i="16"/>
  <c r="V24" i="16"/>
  <c r="AB24" i="16"/>
  <c r="V25" i="16"/>
  <c r="V26" i="16"/>
  <c r="V27" i="16"/>
  <c r="V28" i="16"/>
  <c r="V29" i="16"/>
  <c r="V30" i="16"/>
  <c r="V31" i="16"/>
  <c r="V32" i="16"/>
  <c r="AB32" i="16"/>
  <c r="V33" i="16"/>
  <c r="V34" i="16"/>
  <c r="V35" i="16"/>
  <c r="V12" i="16"/>
  <c r="V36" i="16"/>
  <c r="U36" i="16"/>
  <c r="T13" i="16"/>
  <c r="T14" i="16"/>
  <c r="T15" i="16"/>
  <c r="T16" i="16"/>
  <c r="T17" i="16"/>
  <c r="T18" i="16"/>
  <c r="T19" i="16"/>
  <c r="AB19" i="16"/>
  <c r="T20" i="16"/>
  <c r="T21" i="16"/>
  <c r="T22" i="16"/>
  <c r="T23" i="16"/>
  <c r="T24" i="16"/>
  <c r="T25" i="16"/>
  <c r="T26" i="16"/>
  <c r="T27" i="16"/>
  <c r="AB27" i="16"/>
  <c r="T28" i="16"/>
  <c r="T29" i="16"/>
  <c r="T30" i="16"/>
  <c r="T31" i="16"/>
  <c r="T32" i="16"/>
  <c r="T33" i="16"/>
  <c r="AB33" i="16"/>
  <c r="T34" i="16"/>
  <c r="T35" i="16"/>
  <c r="T12" i="16"/>
  <c r="S36" i="16"/>
  <c r="T36" i="16"/>
  <c r="R13" i="16"/>
  <c r="R14" i="16"/>
  <c r="R15" i="16"/>
  <c r="R16" i="16"/>
  <c r="R17" i="16"/>
  <c r="AB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12" i="16"/>
  <c r="Q36" i="16"/>
  <c r="P13" i="16"/>
  <c r="P14" i="16"/>
  <c r="P15" i="16"/>
  <c r="P16" i="16"/>
  <c r="P17" i="16"/>
  <c r="P18" i="16"/>
  <c r="P19" i="16"/>
  <c r="P20" i="16"/>
  <c r="P21" i="16"/>
  <c r="P22" i="16"/>
  <c r="P36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AB34" i="16"/>
  <c r="P35" i="16"/>
  <c r="P12" i="16"/>
  <c r="O36" i="16"/>
  <c r="N13" i="16"/>
  <c r="N14" i="16"/>
  <c r="AB14" i="16"/>
  <c r="N15" i="16"/>
  <c r="N16" i="16"/>
  <c r="N17" i="16"/>
  <c r="N18" i="16"/>
  <c r="N19" i="16"/>
  <c r="N20" i="16"/>
  <c r="N21" i="16"/>
  <c r="AB21" i="16"/>
  <c r="N22" i="16"/>
  <c r="N23" i="16"/>
  <c r="AB23" i="16"/>
  <c r="N24" i="16"/>
  <c r="N25" i="16"/>
  <c r="AB25" i="16"/>
  <c r="N26" i="16"/>
  <c r="AB26" i="16"/>
  <c r="N27" i="16"/>
  <c r="N28" i="16"/>
  <c r="AB28" i="16"/>
  <c r="N29" i="16"/>
  <c r="N30" i="16"/>
  <c r="AB30" i="16"/>
  <c r="N31" i="16"/>
  <c r="N32" i="16"/>
  <c r="N33" i="16"/>
  <c r="N34" i="16"/>
  <c r="N35" i="16"/>
  <c r="N12" i="16"/>
  <c r="M36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12" i="16"/>
  <c r="AB46" i="16"/>
  <c r="AB58" i="16"/>
  <c r="AB59" i="16"/>
  <c r="N63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12" i="16"/>
  <c r="O35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H28" i="115"/>
  <c r="I28" i="115"/>
  <c r="K28" i="115"/>
  <c r="F27" i="115"/>
  <c r="M37" i="165"/>
  <c r="L37" i="165"/>
  <c r="J37" i="165"/>
  <c r="I37" i="165"/>
  <c r="G37" i="165"/>
  <c r="F37" i="165"/>
  <c r="P36" i="165"/>
  <c r="O36" i="165"/>
  <c r="N36" i="165"/>
  <c r="K36" i="165"/>
  <c r="H36" i="165"/>
  <c r="Q36" i="165"/>
  <c r="D36" i="165"/>
  <c r="E36" i="165"/>
  <c r="C36" i="165"/>
  <c r="P35" i="165"/>
  <c r="O35" i="165"/>
  <c r="N35" i="165"/>
  <c r="K35" i="165"/>
  <c r="H35" i="165"/>
  <c r="D35" i="165"/>
  <c r="E35" i="165"/>
  <c r="C35" i="165"/>
  <c r="P34" i="165"/>
  <c r="O34" i="165"/>
  <c r="N34" i="165"/>
  <c r="K34" i="165"/>
  <c r="H34" i="165"/>
  <c r="D34" i="165"/>
  <c r="C34" i="165"/>
  <c r="E34" i="165"/>
  <c r="P33" i="165"/>
  <c r="O33" i="165"/>
  <c r="N33" i="165"/>
  <c r="K33" i="165"/>
  <c r="H33" i="165"/>
  <c r="D33" i="165"/>
  <c r="C33" i="165"/>
  <c r="E33" i="165"/>
  <c r="P32" i="165"/>
  <c r="O32" i="165"/>
  <c r="N32" i="165"/>
  <c r="K32" i="165"/>
  <c r="H32" i="165"/>
  <c r="D32" i="165"/>
  <c r="C32" i="165"/>
  <c r="P31" i="165"/>
  <c r="O31" i="165"/>
  <c r="N31" i="165"/>
  <c r="K31" i="165"/>
  <c r="Q31" i="165"/>
  <c r="H31" i="165"/>
  <c r="D31" i="165"/>
  <c r="C31" i="165"/>
  <c r="P30" i="165"/>
  <c r="O30" i="165"/>
  <c r="N30" i="165"/>
  <c r="K30" i="165"/>
  <c r="H30" i="165"/>
  <c r="Q30" i="165"/>
  <c r="D30" i="165"/>
  <c r="C30" i="165"/>
  <c r="E30" i="165"/>
  <c r="P29" i="165"/>
  <c r="O29" i="165"/>
  <c r="N29" i="165"/>
  <c r="K29" i="165"/>
  <c r="H29" i="165"/>
  <c r="D29" i="165"/>
  <c r="C29" i="165"/>
  <c r="P28" i="165"/>
  <c r="O28" i="165"/>
  <c r="N28" i="165"/>
  <c r="K28" i="165"/>
  <c r="H28" i="165"/>
  <c r="D28" i="165"/>
  <c r="E28" i="165"/>
  <c r="C28" i="165"/>
  <c r="P27" i="165"/>
  <c r="O27" i="165"/>
  <c r="N27" i="165"/>
  <c r="K27" i="165"/>
  <c r="H27" i="165"/>
  <c r="E27" i="165"/>
  <c r="D27" i="165"/>
  <c r="C27" i="165"/>
  <c r="P26" i="165"/>
  <c r="O26" i="165"/>
  <c r="N26" i="165"/>
  <c r="K26" i="165"/>
  <c r="H26" i="165"/>
  <c r="D26" i="165"/>
  <c r="C26" i="165"/>
  <c r="P25" i="165"/>
  <c r="O25" i="165"/>
  <c r="O37" i="165"/>
  <c r="N25" i="165"/>
  <c r="K25" i="165"/>
  <c r="H25" i="165"/>
  <c r="D25" i="165"/>
  <c r="C25" i="165"/>
  <c r="P24" i="165"/>
  <c r="O24" i="165"/>
  <c r="N24" i="165"/>
  <c r="K24" i="165"/>
  <c r="H24" i="165"/>
  <c r="D24" i="165"/>
  <c r="C24" i="165"/>
  <c r="E24" i="165"/>
  <c r="P23" i="165"/>
  <c r="O23" i="165"/>
  <c r="N23" i="165"/>
  <c r="K23" i="165"/>
  <c r="H23" i="165"/>
  <c r="D23" i="165"/>
  <c r="C23" i="165"/>
  <c r="E23" i="165"/>
  <c r="P22" i="165"/>
  <c r="O22" i="165"/>
  <c r="N22" i="165"/>
  <c r="K22" i="165"/>
  <c r="H22" i="165"/>
  <c r="D22" i="165"/>
  <c r="C22" i="165"/>
  <c r="E22" i="165"/>
  <c r="P21" i="165"/>
  <c r="O21" i="165"/>
  <c r="N21" i="165"/>
  <c r="K21" i="165"/>
  <c r="H21" i="165"/>
  <c r="D21" i="165"/>
  <c r="C21" i="165"/>
  <c r="E21" i="165"/>
  <c r="P20" i="165"/>
  <c r="O20" i="165"/>
  <c r="N20" i="165"/>
  <c r="K20" i="165"/>
  <c r="H20" i="165"/>
  <c r="D20" i="165"/>
  <c r="C20" i="165"/>
  <c r="E20" i="165"/>
  <c r="P19" i="165"/>
  <c r="O19" i="165"/>
  <c r="N19" i="165"/>
  <c r="K19" i="165"/>
  <c r="H19" i="165"/>
  <c r="D19" i="165"/>
  <c r="C19" i="165"/>
  <c r="E19" i="165"/>
  <c r="P18" i="165"/>
  <c r="O18" i="165"/>
  <c r="N18" i="165"/>
  <c r="K18" i="165"/>
  <c r="H18" i="165"/>
  <c r="D18" i="165"/>
  <c r="C18" i="165"/>
  <c r="E18" i="165"/>
  <c r="P17" i="165"/>
  <c r="O17" i="165"/>
  <c r="N17" i="165"/>
  <c r="K17" i="165"/>
  <c r="H17" i="165"/>
  <c r="D17" i="165"/>
  <c r="C17" i="165"/>
  <c r="E17" i="165"/>
  <c r="P16" i="165"/>
  <c r="O16" i="165"/>
  <c r="N16" i="165"/>
  <c r="K16" i="165"/>
  <c r="H16" i="165"/>
  <c r="D16" i="165"/>
  <c r="C16" i="165"/>
  <c r="P15" i="165"/>
  <c r="O15" i="165"/>
  <c r="N15" i="165"/>
  <c r="K15" i="165"/>
  <c r="H15" i="165"/>
  <c r="Q15" i="165"/>
  <c r="D15" i="165"/>
  <c r="E15" i="165"/>
  <c r="C15" i="165"/>
  <c r="P14" i="165"/>
  <c r="O14" i="165"/>
  <c r="N14" i="165"/>
  <c r="K14" i="165"/>
  <c r="H14" i="165"/>
  <c r="D14" i="165"/>
  <c r="C14" i="165"/>
  <c r="E14" i="165"/>
  <c r="P13" i="165"/>
  <c r="O13" i="165"/>
  <c r="N13" i="165"/>
  <c r="K13" i="165"/>
  <c r="H13" i="165"/>
  <c r="D13" i="165"/>
  <c r="C13" i="165"/>
  <c r="M38" i="164"/>
  <c r="L38" i="164"/>
  <c r="J38" i="164"/>
  <c r="I38" i="164"/>
  <c r="G38" i="164"/>
  <c r="F38" i="164"/>
  <c r="P37" i="164"/>
  <c r="O37" i="164"/>
  <c r="N37" i="164"/>
  <c r="H37" i="164"/>
  <c r="D37" i="164"/>
  <c r="C37" i="164"/>
  <c r="P36" i="164"/>
  <c r="O36" i="164"/>
  <c r="N36" i="164"/>
  <c r="H36" i="164"/>
  <c r="D36" i="164"/>
  <c r="C36" i="164"/>
  <c r="P35" i="164"/>
  <c r="O35" i="164"/>
  <c r="N35" i="164"/>
  <c r="H35" i="164"/>
  <c r="D35" i="164"/>
  <c r="C35" i="164"/>
  <c r="P34" i="164"/>
  <c r="O34" i="164"/>
  <c r="N34" i="164"/>
  <c r="H34" i="164"/>
  <c r="D34" i="164"/>
  <c r="C34" i="164"/>
  <c r="P33" i="164"/>
  <c r="O33" i="164"/>
  <c r="N33" i="164"/>
  <c r="H33" i="164"/>
  <c r="D33" i="164"/>
  <c r="C33" i="164"/>
  <c r="P32" i="164"/>
  <c r="O32" i="164"/>
  <c r="N32" i="164"/>
  <c r="H32" i="164"/>
  <c r="D32" i="164"/>
  <c r="C32" i="164"/>
  <c r="P31" i="164"/>
  <c r="O31" i="164"/>
  <c r="N31" i="164"/>
  <c r="H31" i="164"/>
  <c r="D31" i="164"/>
  <c r="C31" i="164"/>
  <c r="P30" i="164"/>
  <c r="O30" i="164"/>
  <c r="N30" i="164"/>
  <c r="H30" i="164"/>
  <c r="Q30" i="164"/>
  <c r="D30" i="164"/>
  <c r="C30" i="164"/>
  <c r="P29" i="164"/>
  <c r="O29" i="164"/>
  <c r="N29" i="164"/>
  <c r="H29" i="164"/>
  <c r="D29" i="164"/>
  <c r="C29" i="164"/>
  <c r="P28" i="164"/>
  <c r="O28" i="164"/>
  <c r="N28" i="164"/>
  <c r="H28" i="164"/>
  <c r="D28" i="164"/>
  <c r="C28" i="164"/>
  <c r="P27" i="164"/>
  <c r="O27" i="164"/>
  <c r="N27" i="164"/>
  <c r="H27" i="164"/>
  <c r="D27" i="164"/>
  <c r="C27" i="164"/>
  <c r="P26" i="164"/>
  <c r="O26" i="164"/>
  <c r="N26" i="164"/>
  <c r="H26" i="164"/>
  <c r="D26" i="164"/>
  <c r="C26" i="164"/>
  <c r="P25" i="164"/>
  <c r="O25" i="164"/>
  <c r="N25" i="164"/>
  <c r="H25" i="164"/>
  <c r="D25" i="164"/>
  <c r="C25" i="164"/>
  <c r="P24" i="164"/>
  <c r="O24" i="164"/>
  <c r="N24" i="164"/>
  <c r="H24" i="164"/>
  <c r="D24" i="164"/>
  <c r="C24" i="164"/>
  <c r="P23" i="164"/>
  <c r="O23" i="164"/>
  <c r="N23" i="164"/>
  <c r="H23" i="164"/>
  <c r="D23" i="164"/>
  <c r="C23" i="164"/>
  <c r="P22" i="164"/>
  <c r="O22" i="164"/>
  <c r="N22" i="164"/>
  <c r="H22" i="164"/>
  <c r="D22" i="164"/>
  <c r="C22" i="164"/>
  <c r="P21" i="164"/>
  <c r="O21" i="164"/>
  <c r="N21" i="164"/>
  <c r="H21" i="164"/>
  <c r="D21" i="164"/>
  <c r="C21" i="164"/>
  <c r="P20" i="164"/>
  <c r="O20" i="164"/>
  <c r="O38" i="164"/>
  <c r="N20" i="164"/>
  <c r="H20" i="164"/>
  <c r="Q20" i="164"/>
  <c r="D20" i="164"/>
  <c r="C20" i="164"/>
  <c r="T19" i="164"/>
  <c r="P19" i="164"/>
  <c r="O19" i="164"/>
  <c r="N19" i="164"/>
  <c r="H19" i="164"/>
  <c r="Q19" i="164"/>
  <c r="D19" i="164"/>
  <c r="C19" i="164"/>
  <c r="T18" i="164"/>
  <c r="P18" i="164"/>
  <c r="O18" i="164"/>
  <c r="N18" i="164"/>
  <c r="H18" i="164"/>
  <c r="Q18" i="164"/>
  <c r="D18" i="164"/>
  <c r="C18" i="164"/>
  <c r="P17" i="164"/>
  <c r="O17" i="164"/>
  <c r="N17" i="164"/>
  <c r="H17" i="164"/>
  <c r="D17" i="164"/>
  <c r="C17" i="164"/>
  <c r="P16" i="164"/>
  <c r="O16" i="164"/>
  <c r="N16" i="164"/>
  <c r="H16" i="164"/>
  <c r="D16" i="164"/>
  <c r="C16" i="164"/>
  <c r="P15" i="164"/>
  <c r="O15" i="164"/>
  <c r="N15" i="164"/>
  <c r="H15" i="164"/>
  <c r="D15" i="164"/>
  <c r="C15" i="164"/>
  <c r="P14" i="164"/>
  <c r="O14" i="164"/>
  <c r="N14" i="164"/>
  <c r="H14" i="164"/>
  <c r="D14" i="164"/>
  <c r="C14" i="164"/>
  <c r="Q36" i="163"/>
  <c r="P36" i="163"/>
  <c r="L36" i="163"/>
  <c r="K36" i="163"/>
  <c r="J36" i="163"/>
  <c r="I36" i="163"/>
  <c r="H36" i="163"/>
  <c r="E36" i="163"/>
  <c r="D36" i="163"/>
  <c r="V35" i="163"/>
  <c r="U35" i="163"/>
  <c r="S35" i="163"/>
  <c r="O35" i="163"/>
  <c r="V34" i="163"/>
  <c r="U34" i="163"/>
  <c r="S34" i="163"/>
  <c r="O34" i="163"/>
  <c r="V33" i="163"/>
  <c r="S33" i="163"/>
  <c r="C33" i="163"/>
  <c r="O33" i="163"/>
  <c r="V32" i="163"/>
  <c r="U32" i="163"/>
  <c r="S32" i="163"/>
  <c r="O32" i="163"/>
  <c r="V31" i="163"/>
  <c r="U31" i="163"/>
  <c r="S31" i="163"/>
  <c r="O31" i="163"/>
  <c r="V30" i="163"/>
  <c r="U30" i="163"/>
  <c r="S30" i="163"/>
  <c r="O30" i="163"/>
  <c r="V29" i="163"/>
  <c r="S29" i="163"/>
  <c r="C29" i="163"/>
  <c r="O29" i="163"/>
  <c r="V28" i="163"/>
  <c r="S28" i="163"/>
  <c r="C28" i="163"/>
  <c r="C29" i="86"/>
  <c r="U28" i="163"/>
  <c r="V27" i="163"/>
  <c r="U27" i="163"/>
  <c r="S27" i="163"/>
  <c r="O27" i="163"/>
  <c r="V26" i="163"/>
  <c r="U26" i="163"/>
  <c r="S26" i="163"/>
  <c r="O26" i="163"/>
  <c r="V25" i="163"/>
  <c r="S25" i="163"/>
  <c r="C25" i="163"/>
  <c r="C26" i="86"/>
  <c r="V24" i="163"/>
  <c r="S24" i="163"/>
  <c r="C24" i="163"/>
  <c r="V23" i="163"/>
  <c r="U23" i="163"/>
  <c r="S23" i="163"/>
  <c r="O23" i="163"/>
  <c r="V22" i="163"/>
  <c r="S22" i="163"/>
  <c r="C22" i="163"/>
  <c r="V21" i="163"/>
  <c r="U21" i="163"/>
  <c r="S21" i="163"/>
  <c r="O21" i="163"/>
  <c r="V20" i="163"/>
  <c r="U20" i="163"/>
  <c r="S20" i="163"/>
  <c r="O20" i="163"/>
  <c r="V19" i="163"/>
  <c r="U19" i="163"/>
  <c r="S19" i="163"/>
  <c r="O19" i="163"/>
  <c r="V18" i="163"/>
  <c r="U18" i="163"/>
  <c r="S18" i="163"/>
  <c r="O18" i="163"/>
  <c r="V17" i="163"/>
  <c r="U17" i="163"/>
  <c r="S17" i="163"/>
  <c r="O17" i="163"/>
  <c r="V16" i="163"/>
  <c r="U16" i="163"/>
  <c r="S16" i="163"/>
  <c r="O16" i="163"/>
  <c r="V15" i="163"/>
  <c r="U15" i="163"/>
  <c r="S15" i="163"/>
  <c r="O15" i="163"/>
  <c r="V14" i="163"/>
  <c r="U14" i="163"/>
  <c r="S14" i="163"/>
  <c r="O14" i="163"/>
  <c r="V13" i="163"/>
  <c r="U13" i="163"/>
  <c r="S13" i="163"/>
  <c r="O13" i="163"/>
  <c r="V12" i="163"/>
  <c r="U12" i="163"/>
  <c r="S12" i="163"/>
  <c r="O12" i="163"/>
  <c r="L36" i="162"/>
  <c r="K36" i="162"/>
  <c r="J36" i="162"/>
  <c r="I36" i="162"/>
  <c r="H36" i="162"/>
  <c r="E36" i="162"/>
  <c r="D36" i="162"/>
  <c r="C36" i="162"/>
  <c r="N35" i="162"/>
  <c r="N34" i="162"/>
  <c r="N33" i="162"/>
  <c r="N32" i="162"/>
  <c r="N31" i="162"/>
  <c r="N30" i="162"/>
  <c r="N29" i="162"/>
  <c r="N28" i="162"/>
  <c r="N27" i="162"/>
  <c r="N26" i="162"/>
  <c r="N25" i="162"/>
  <c r="N24" i="162"/>
  <c r="N23" i="162"/>
  <c r="N22" i="162"/>
  <c r="N21" i="162"/>
  <c r="N20" i="162"/>
  <c r="N19" i="162"/>
  <c r="N18" i="162"/>
  <c r="N17" i="162"/>
  <c r="N16" i="162"/>
  <c r="N15" i="162"/>
  <c r="N14" i="162"/>
  <c r="N13" i="162"/>
  <c r="N12" i="162"/>
  <c r="R15" i="88"/>
  <c r="R16" i="88"/>
  <c r="R17" i="88"/>
  <c r="R18" i="88"/>
  <c r="R19" i="88"/>
  <c r="R20" i="88"/>
  <c r="R21" i="88"/>
  <c r="R22" i="88"/>
  <c r="R23" i="88"/>
  <c r="R24" i="88"/>
  <c r="R25" i="88"/>
  <c r="R26" i="88"/>
  <c r="R27" i="88"/>
  <c r="R28" i="88"/>
  <c r="R29" i="88"/>
  <c r="R30" i="88"/>
  <c r="R31" i="88"/>
  <c r="R32" i="88"/>
  <c r="R33" i="88"/>
  <c r="R34" i="88"/>
  <c r="R35" i="88"/>
  <c r="R36" i="88"/>
  <c r="R37" i="88"/>
  <c r="Q15" i="88"/>
  <c r="Q16" i="88"/>
  <c r="Q17" i="88"/>
  <c r="Q18" i="88"/>
  <c r="Q19" i="88"/>
  <c r="Q20" i="88"/>
  <c r="Q21" i="88"/>
  <c r="Q22" i="88"/>
  <c r="Q23" i="88"/>
  <c r="Q24" i="88"/>
  <c r="Q25" i="88"/>
  <c r="Q26" i="88"/>
  <c r="Q27" i="88"/>
  <c r="Q28" i="88"/>
  <c r="Q29" i="88"/>
  <c r="Q30" i="88"/>
  <c r="Q31" i="88"/>
  <c r="Q32" i="88"/>
  <c r="Q33" i="88"/>
  <c r="Q34" i="88"/>
  <c r="Q35" i="88"/>
  <c r="Q36" i="88"/>
  <c r="Q37" i="88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12" i="4"/>
  <c r="D16" i="103"/>
  <c r="D34" i="103"/>
  <c r="D15" i="103"/>
  <c r="T25" i="161"/>
  <c r="S25" i="161"/>
  <c r="R25" i="161"/>
  <c r="Q25" i="161"/>
  <c r="P25" i="161"/>
  <c r="O25" i="161"/>
  <c r="N25" i="161"/>
  <c r="M25" i="161"/>
  <c r="L25" i="161"/>
  <c r="H24" i="161"/>
  <c r="K24" i="161"/>
  <c r="W24" i="161"/>
  <c r="G24" i="161"/>
  <c r="J24" i="161"/>
  <c r="V24" i="161"/>
  <c r="F24" i="161"/>
  <c r="E24" i="161"/>
  <c r="D24" i="161"/>
  <c r="C24" i="161"/>
  <c r="I24" i="161"/>
  <c r="U24" i="161"/>
  <c r="H23" i="161"/>
  <c r="G23" i="161"/>
  <c r="F23" i="161"/>
  <c r="E23" i="161"/>
  <c r="K23" i="161"/>
  <c r="D23" i="161"/>
  <c r="C23" i="161"/>
  <c r="I23" i="161"/>
  <c r="U23" i="161"/>
  <c r="H22" i="161"/>
  <c r="H25" i="161"/>
  <c r="G22" i="161"/>
  <c r="G25" i="161"/>
  <c r="F22" i="161"/>
  <c r="F25" i="161"/>
  <c r="E22" i="161"/>
  <c r="K22" i="161"/>
  <c r="D22" i="161"/>
  <c r="C22" i="161"/>
  <c r="Q19" i="161"/>
  <c r="P19" i="161"/>
  <c r="O19" i="161"/>
  <c r="N19" i="161"/>
  <c r="M19" i="161"/>
  <c r="S19" i="161"/>
  <c r="L19" i="161"/>
  <c r="R19" i="161"/>
  <c r="H19" i="161"/>
  <c r="G19" i="161"/>
  <c r="G20" i="161"/>
  <c r="F19" i="161"/>
  <c r="E19" i="161"/>
  <c r="K19" i="161"/>
  <c r="D19" i="161"/>
  <c r="C19" i="161"/>
  <c r="N18" i="161"/>
  <c r="T18" i="161"/>
  <c r="M18" i="161"/>
  <c r="S18" i="161"/>
  <c r="L18" i="161"/>
  <c r="R18" i="161"/>
  <c r="J18" i="161"/>
  <c r="E18" i="161"/>
  <c r="K18" i="161"/>
  <c r="W18" i="161"/>
  <c r="D18" i="161"/>
  <c r="C18" i="161"/>
  <c r="I18" i="161"/>
  <c r="Q17" i="161"/>
  <c r="T17" i="161"/>
  <c r="P17" i="161"/>
  <c r="O17" i="161"/>
  <c r="N17" i="161"/>
  <c r="M17" i="161"/>
  <c r="L17" i="161"/>
  <c r="R17" i="161"/>
  <c r="H17" i="161"/>
  <c r="G17" i="161"/>
  <c r="F17" i="161"/>
  <c r="E17" i="161"/>
  <c r="K17" i="161"/>
  <c r="D17" i="161"/>
  <c r="C17" i="161"/>
  <c r="I17" i="161"/>
  <c r="Q16" i="161"/>
  <c r="P16" i="161"/>
  <c r="P20" i="161"/>
  <c r="P27" i="161"/>
  <c r="O16" i="161"/>
  <c r="O20" i="161"/>
  <c r="O27" i="161"/>
  <c r="N16" i="161"/>
  <c r="T16" i="161"/>
  <c r="M16" i="161"/>
  <c r="S16" i="161"/>
  <c r="L16" i="161"/>
  <c r="R16" i="161"/>
  <c r="W16" i="161"/>
  <c r="H16" i="161"/>
  <c r="H20" i="161"/>
  <c r="H27" i="161"/>
  <c r="G16" i="161"/>
  <c r="F16" i="161"/>
  <c r="E16" i="161"/>
  <c r="K16" i="161"/>
  <c r="D16" i="161"/>
  <c r="J16" i="161"/>
  <c r="C16" i="161"/>
  <c r="N15" i="161"/>
  <c r="M15" i="161"/>
  <c r="S15" i="161"/>
  <c r="L15" i="161"/>
  <c r="L20" i="161"/>
  <c r="L27" i="161"/>
  <c r="E15" i="161"/>
  <c r="D15" i="161"/>
  <c r="D20" i="161"/>
  <c r="J15" i="161"/>
  <c r="C15" i="161"/>
  <c r="C2" i="161"/>
  <c r="W22" i="161"/>
  <c r="M37" i="86"/>
  <c r="D33" i="135"/>
  <c r="E33" i="135"/>
  <c r="V37" i="88"/>
  <c r="U15" i="88"/>
  <c r="V15" i="88"/>
  <c r="U16" i="88"/>
  <c r="V16" i="88"/>
  <c r="U17" i="88"/>
  <c r="V17" i="88"/>
  <c r="U18" i="88"/>
  <c r="V18" i="88"/>
  <c r="U19" i="88"/>
  <c r="V19" i="88"/>
  <c r="U20" i="88"/>
  <c r="V20" i="88"/>
  <c r="U21" i="88"/>
  <c r="V21" i="88"/>
  <c r="U22" i="88"/>
  <c r="V22" i="88"/>
  <c r="U23" i="88"/>
  <c r="V23" i="88"/>
  <c r="U24" i="88"/>
  <c r="V24" i="88"/>
  <c r="U25" i="88"/>
  <c r="V25" i="88"/>
  <c r="U26" i="88"/>
  <c r="V26" i="88"/>
  <c r="U27" i="88"/>
  <c r="V27" i="88"/>
  <c r="U28" i="88"/>
  <c r="V28" i="88"/>
  <c r="U29" i="88"/>
  <c r="V29" i="88"/>
  <c r="U30" i="88"/>
  <c r="V30" i="88"/>
  <c r="U31" i="88"/>
  <c r="V31" i="88"/>
  <c r="U32" i="88"/>
  <c r="V32" i="88"/>
  <c r="U33" i="88"/>
  <c r="V33" i="88"/>
  <c r="U34" i="88"/>
  <c r="V34" i="88"/>
  <c r="U35" i="88"/>
  <c r="V35" i="88"/>
  <c r="U36" i="88"/>
  <c r="V36" i="88"/>
  <c r="U37" i="88"/>
  <c r="U14" i="88"/>
  <c r="C40" i="139"/>
  <c r="E40" i="139"/>
  <c r="F40" i="139"/>
  <c r="G40" i="139"/>
  <c r="H40" i="139"/>
  <c r="I40" i="139"/>
  <c r="J40" i="139"/>
  <c r="K40" i="139"/>
  <c r="L40" i="139"/>
  <c r="M40" i="139"/>
  <c r="N40" i="139"/>
  <c r="O40" i="139"/>
  <c r="P40" i="139"/>
  <c r="D39" i="139"/>
  <c r="D38" i="139"/>
  <c r="D37" i="139"/>
  <c r="D36" i="139"/>
  <c r="D35" i="139"/>
  <c r="D34" i="139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36" i="101"/>
  <c r="E36" i="101"/>
  <c r="F36" i="101"/>
  <c r="G36" i="101"/>
  <c r="H36" i="101"/>
  <c r="I36" i="101"/>
  <c r="J36" i="101"/>
  <c r="K36" i="101"/>
  <c r="L36" i="101"/>
  <c r="M36" i="101"/>
  <c r="N36" i="101"/>
  <c r="O36" i="101"/>
  <c r="P36" i="101"/>
  <c r="C36" i="101"/>
  <c r="G12" i="14"/>
  <c r="G16" i="14"/>
  <c r="H12" i="14"/>
  <c r="H16" i="14"/>
  <c r="E17" i="14"/>
  <c r="D25" i="14"/>
  <c r="F25" i="14"/>
  <c r="F26" i="14"/>
  <c r="C25" i="14"/>
  <c r="D16" i="14"/>
  <c r="E16" i="14"/>
  <c r="T12" i="78"/>
  <c r="T13" i="78"/>
  <c r="T14" i="78"/>
  <c r="T15" i="78"/>
  <c r="T16" i="78"/>
  <c r="T17" i="78"/>
  <c r="T18" i="78"/>
  <c r="T19" i="78"/>
  <c r="T20" i="78"/>
  <c r="T21" i="78"/>
  <c r="T22" i="78"/>
  <c r="T23" i="78"/>
  <c r="T24" i="78"/>
  <c r="T25" i="78"/>
  <c r="T26" i="78"/>
  <c r="T27" i="78"/>
  <c r="T28" i="78"/>
  <c r="T29" i="78"/>
  <c r="T30" i="78"/>
  <c r="T31" i="78"/>
  <c r="T32" i="78"/>
  <c r="T33" i="78"/>
  <c r="T34" i="78"/>
  <c r="T11" i="78"/>
  <c r="K35" i="62"/>
  <c r="L35" i="62"/>
  <c r="M35" i="62"/>
  <c r="G35" i="62"/>
  <c r="H35" i="62"/>
  <c r="I35" i="62"/>
  <c r="J35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11" i="62"/>
  <c r="E35" i="62"/>
  <c r="F12" i="62"/>
  <c r="F16" i="62"/>
  <c r="F20" i="62"/>
  <c r="F22" i="62"/>
  <c r="F30" i="62"/>
  <c r="F32" i="62"/>
  <c r="F11" i="62"/>
  <c r="G25" i="102"/>
  <c r="G24" i="102"/>
  <c r="G16" i="102"/>
  <c r="G17" i="102"/>
  <c r="G18" i="102"/>
  <c r="G19" i="102"/>
  <c r="G20" i="102"/>
  <c r="G21" i="102"/>
  <c r="G22" i="102"/>
  <c r="G15" i="102"/>
  <c r="M15" i="88"/>
  <c r="M16" i="88"/>
  <c r="M17" i="88"/>
  <c r="M18" i="88"/>
  <c r="M19" i="88"/>
  <c r="M20" i="88"/>
  <c r="M21" i="88"/>
  <c r="M22" i="88"/>
  <c r="M23" i="88"/>
  <c r="M24" i="88"/>
  <c r="M25" i="88"/>
  <c r="M26" i="88"/>
  <c r="M27" i="88"/>
  <c r="M28" i="88"/>
  <c r="M29" i="88"/>
  <c r="M30" i="88"/>
  <c r="M31" i="88"/>
  <c r="M32" i="88"/>
  <c r="M33" i="88"/>
  <c r="M34" i="88"/>
  <c r="M35" i="88"/>
  <c r="M36" i="88"/>
  <c r="M37" i="88"/>
  <c r="M14" i="88"/>
  <c r="D26" i="14"/>
  <c r="S13" i="86"/>
  <c r="L33" i="124"/>
  <c r="M33" i="124"/>
  <c r="F21" i="124"/>
  <c r="I18" i="13"/>
  <c r="I22" i="13"/>
  <c r="I34" i="13"/>
  <c r="I14" i="13"/>
  <c r="I26" i="13"/>
  <c r="I30" i="13"/>
  <c r="G14" i="86"/>
  <c r="J14" i="86"/>
  <c r="G15" i="86"/>
  <c r="G16" i="86"/>
  <c r="J16" i="86"/>
  <c r="G17" i="86"/>
  <c r="G18" i="86"/>
  <c r="J18" i="86"/>
  <c r="G19" i="86"/>
  <c r="G20" i="86"/>
  <c r="G21" i="86"/>
  <c r="G22" i="86"/>
  <c r="J22" i="86"/>
  <c r="G23" i="86"/>
  <c r="G24" i="86"/>
  <c r="J24" i="86"/>
  <c r="G25" i="86"/>
  <c r="G26" i="86"/>
  <c r="J26" i="86"/>
  <c r="G27" i="86"/>
  <c r="G28" i="86"/>
  <c r="G29" i="86"/>
  <c r="G30" i="86"/>
  <c r="J30" i="86"/>
  <c r="G31" i="86"/>
  <c r="G32" i="86"/>
  <c r="J32" i="86"/>
  <c r="G33" i="86"/>
  <c r="G34" i="86"/>
  <c r="J34" i="86"/>
  <c r="G35" i="86"/>
  <c r="G36" i="86"/>
  <c r="G13" i="86"/>
  <c r="I32" i="99"/>
  <c r="I33" i="99"/>
  <c r="H32" i="99"/>
  <c r="H34" i="99"/>
  <c r="H33" i="99"/>
  <c r="G26" i="159"/>
  <c r="E16" i="96"/>
  <c r="D16" i="96"/>
  <c r="C16" i="96"/>
  <c r="C20" i="96"/>
  <c r="D20" i="96"/>
  <c r="E20" i="96"/>
  <c r="I33" i="13"/>
  <c r="I29" i="13"/>
  <c r="I25" i="13"/>
  <c r="I21" i="13"/>
  <c r="I17" i="13"/>
  <c r="I13" i="13"/>
  <c r="I35" i="13"/>
  <c r="I31" i="13"/>
  <c r="I27" i="13"/>
  <c r="I23" i="13"/>
  <c r="I19" i="13"/>
  <c r="I15" i="13"/>
  <c r="I32" i="13"/>
  <c r="I28" i="13"/>
  <c r="I24" i="13"/>
  <c r="I20" i="13"/>
  <c r="I16" i="13"/>
  <c r="J25" i="159"/>
  <c r="J11" i="159"/>
  <c r="D35" i="156"/>
  <c r="C8" i="156"/>
  <c r="D8" i="156"/>
  <c r="E8" i="156"/>
  <c r="H14" i="86"/>
  <c r="F14" i="86"/>
  <c r="H15" i="86"/>
  <c r="F15" i="86"/>
  <c r="H16" i="86"/>
  <c r="F16" i="86"/>
  <c r="H17" i="86"/>
  <c r="F17" i="86"/>
  <c r="H18" i="86"/>
  <c r="F18" i="86"/>
  <c r="H19" i="86"/>
  <c r="F19" i="86"/>
  <c r="H20" i="86"/>
  <c r="F20" i="86"/>
  <c r="H21" i="86"/>
  <c r="F21" i="86"/>
  <c r="H22" i="86"/>
  <c r="F22" i="86"/>
  <c r="H23" i="86"/>
  <c r="F23" i="86"/>
  <c r="H24" i="86"/>
  <c r="F24" i="86"/>
  <c r="H25" i="86"/>
  <c r="F25" i="86"/>
  <c r="H26" i="86"/>
  <c r="F26" i="86"/>
  <c r="H27" i="86"/>
  <c r="F27" i="86"/>
  <c r="H28" i="86"/>
  <c r="F28" i="86"/>
  <c r="H29" i="86"/>
  <c r="F29" i="86"/>
  <c r="H30" i="86"/>
  <c r="F30" i="86"/>
  <c r="H31" i="86"/>
  <c r="F31" i="86"/>
  <c r="H32" i="86"/>
  <c r="F32" i="86"/>
  <c r="H33" i="86"/>
  <c r="F33" i="86"/>
  <c r="H34" i="86"/>
  <c r="F34" i="86"/>
  <c r="H35" i="86"/>
  <c r="F35" i="86"/>
  <c r="H36" i="86"/>
  <c r="F36" i="86"/>
  <c r="H13" i="86"/>
  <c r="E12" i="65"/>
  <c r="K12" i="65"/>
  <c r="E13" i="65"/>
  <c r="K13" i="65"/>
  <c r="E14" i="65"/>
  <c r="K14" i="65"/>
  <c r="E15" i="65"/>
  <c r="K15" i="65"/>
  <c r="E16" i="65"/>
  <c r="E17" i="65"/>
  <c r="K17" i="65"/>
  <c r="E18" i="65"/>
  <c r="K18" i="65"/>
  <c r="E19" i="65"/>
  <c r="K19" i="65"/>
  <c r="E20" i="65"/>
  <c r="K20" i="65"/>
  <c r="E21" i="65"/>
  <c r="K21" i="65"/>
  <c r="E22" i="65"/>
  <c r="K22" i="65"/>
  <c r="E23" i="65"/>
  <c r="K23" i="65"/>
  <c r="E24" i="65"/>
  <c r="K24" i="65"/>
  <c r="E25" i="65"/>
  <c r="K25" i="65"/>
  <c r="E26" i="65"/>
  <c r="K26" i="65"/>
  <c r="E27" i="65"/>
  <c r="K27" i="65"/>
  <c r="E28" i="65"/>
  <c r="K28" i="65"/>
  <c r="E29" i="65"/>
  <c r="K29" i="65"/>
  <c r="E30" i="65"/>
  <c r="K30" i="65"/>
  <c r="E31" i="65"/>
  <c r="K31" i="65"/>
  <c r="E32" i="65"/>
  <c r="K32" i="65"/>
  <c r="E33" i="65"/>
  <c r="K33" i="65"/>
  <c r="E34" i="65"/>
  <c r="K34" i="65"/>
  <c r="E11" i="65"/>
  <c r="K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11" i="65"/>
  <c r="F35" i="65"/>
  <c r="P13" i="153"/>
  <c r="R13" i="153"/>
  <c r="Q13" i="153"/>
  <c r="P14" i="153"/>
  <c r="Q14" i="153"/>
  <c r="P15" i="153"/>
  <c r="Q15" i="153"/>
  <c r="P16" i="153"/>
  <c r="R16" i="153"/>
  <c r="Q16" i="153"/>
  <c r="P17" i="153"/>
  <c r="Q17" i="153"/>
  <c r="P18" i="153"/>
  <c r="Q18" i="153"/>
  <c r="P19" i="153"/>
  <c r="Q19" i="153"/>
  <c r="P20" i="153"/>
  <c r="Q20" i="153"/>
  <c r="R20" i="153"/>
  <c r="P21" i="153"/>
  <c r="R21" i="153"/>
  <c r="Q21" i="153"/>
  <c r="P22" i="153"/>
  <c r="Q22" i="153"/>
  <c r="P23" i="153"/>
  <c r="R23" i="153"/>
  <c r="Q23" i="153"/>
  <c r="P24" i="153"/>
  <c r="Q24" i="153"/>
  <c r="P25" i="153"/>
  <c r="T25" i="153"/>
  <c r="Q25" i="153"/>
  <c r="P26" i="153"/>
  <c r="R26" i="153"/>
  <c r="Q26" i="153"/>
  <c r="P27" i="153"/>
  <c r="Q27" i="153"/>
  <c r="R27" i="153"/>
  <c r="P28" i="153"/>
  <c r="R28" i="153"/>
  <c r="Q28" i="153"/>
  <c r="P29" i="153"/>
  <c r="R29" i="153"/>
  <c r="Q29" i="153"/>
  <c r="P30" i="153"/>
  <c r="Q30" i="153"/>
  <c r="R30" i="153"/>
  <c r="P31" i="153"/>
  <c r="Q31" i="153"/>
  <c r="P32" i="153"/>
  <c r="Q32" i="153"/>
  <c r="R32" i="153"/>
  <c r="P33" i="153"/>
  <c r="Q33" i="153"/>
  <c r="P34" i="153"/>
  <c r="Q34" i="153"/>
  <c r="U34" i="153"/>
  <c r="P35" i="153"/>
  <c r="Q35" i="153"/>
  <c r="R35" i="153"/>
  <c r="L13" i="153"/>
  <c r="N13" i="153"/>
  <c r="M13" i="153"/>
  <c r="L14" i="153"/>
  <c r="M14" i="153"/>
  <c r="L15" i="153"/>
  <c r="M15" i="153"/>
  <c r="L16" i="153"/>
  <c r="T16" i="153"/>
  <c r="N16" i="153"/>
  <c r="M16" i="153"/>
  <c r="L17" i="153"/>
  <c r="M17" i="153"/>
  <c r="L18" i="153"/>
  <c r="M18" i="153"/>
  <c r="L19" i="153"/>
  <c r="M19" i="153"/>
  <c r="L20" i="153"/>
  <c r="M20" i="153"/>
  <c r="N20" i="153"/>
  <c r="L21" i="153"/>
  <c r="M21" i="153"/>
  <c r="M36" i="153"/>
  <c r="L22" i="153"/>
  <c r="N22" i="153"/>
  <c r="M22" i="153"/>
  <c r="L23" i="153"/>
  <c r="N23" i="153"/>
  <c r="M23" i="153"/>
  <c r="L24" i="153"/>
  <c r="M24" i="153"/>
  <c r="N24" i="153"/>
  <c r="L25" i="153"/>
  <c r="N25" i="153"/>
  <c r="M25" i="153"/>
  <c r="L26" i="153"/>
  <c r="M26" i="153"/>
  <c r="U26" i="153"/>
  <c r="L27" i="153"/>
  <c r="M27" i="153"/>
  <c r="N27" i="153"/>
  <c r="L28" i="153"/>
  <c r="M28" i="153"/>
  <c r="N28" i="153"/>
  <c r="L29" i="153"/>
  <c r="M29" i="153"/>
  <c r="L30" i="153"/>
  <c r="M30" i="153"/>
  <c r="L31" i="153"/>
  <c r="M31" i="153"/>
  <c r="L32" i="153"/>
  <c r="N32" i="153"/>
  <c r="M32" i="153"/>
  <c r="L33" i="153"/>
  <c r="M33" i="153"/>
  <c r="L34" i="153"/>
  <c r="N34" i="153"/>
  <c r="M34" i="153"/>
  <c r="L35" i="153"/>
  <c r="N35" i="153"/>
  <c r="M35" i="153"/>
  <c r="H13" i="153"/>
  <c r="I13" i="153"/>
  <c r="J13" i="153"/>
  <c r="H14" i="153"/>
  <c r="I14" i="153"/>
  <c r="H15" i="153"/>
  <c r="J15" i="153"/>
  <c r="I15" i="153"/>
  <c r="H16" i="153"/>
  <c r="I16" i="153"/>
  <c r="H17" i="153"/>
  <c r="T17" i="153"/>
  <c r="V17" i="153"/>
  <c r="I17" i="153"/>
  <c r="H18" i="153"/>
  <c r="I18" i="153"/>
  <c r="H19" i="153"/>
  <c r="J19" i="153"/>
  <c r="I19" i="153"/>
  <c r="H20" i="153"/>
  <c r="J20" i="153"/>
  <c r="I20" i="153"/>
  <c r="H21" i="153"/>
  <c r="I21" i="153"/>
  <c r="H22" i="153"/>
  <c r="I22" i="153"/>
  <c r="H23" i="153"/>
  <c r="I23" i="153"/>
  <c r="J23" i="153"/>
  <c r="H24" i="153"/>
  <c r="J24" i="153"/>
  <c r="I24" i="153"/>
  <c r="H25" i="153"/>
  <c r="I25" i="153"/>
  <c r="H26" i="153"/>
  <c r="J26" i="153"/>
  <c r="I26" i="153"/>
  <c r="H27" i="153"/>
  <c r="J27" i="153"/>
  <c r="I27" i="153"/>
  <c r="H28" i="153"/>
  <c r="I28" i="153"/>
  <c r="H29" i="153"/>
  <c r="I29" i="153"/>
  <c r="J29" i="153"/>
  <c r="H30" i="153"/>
  <c r="J30" i="153"/>
  <c r="I30" i="153"/>
  <c r="H31" i="153"/>
  <c r="J31" i="153"/>
  <c r="I31" i="153"/>
  <c r="H32" i="153"/>
  <c r="J32" i="153"/>
  <c r="I32" i="153"/>
  <c r="H33" i="153"/>
  <c r="J33" i="153"/>
  <c r="I33" i="153"/>
  <c r="H34" i="153"/>
  <c r="I34" i="153"/>
  <c r="J34" i="153"/>
  <c r="H35" i="153"/>
  <c r="J35" i="153"/>
  <c r="I35" i="153"/>
  <c r="D13" i="153"/>
  <c r="T13" i="153"/>
  <c r="E13" i="153"/>
  <c r="D14" i="153"/>
  <c r="T14" i="153"/>
  <c r="E14" i="153"/>
  <c r="D15" i="153"/>
  <c r="E15" i="153"/>
  <c r="F15" i="153"/>
  <c r="D16" i="153"/>
  <c r="E16" i="153"/>
  <c r="D17" i="153"/>
  <c r="E17" i="153"/>
  <c r="D18" i="153"/>
  <c r="E18" i="153"/>
  <c r="F18" i="153"/>
  <c r="D19" i="153"/>
  <c r="E19" i="153"/>
  <c r="D20" i="153"/>
  <c r="E20" i="153"/>
  <c r="D21" i="153"/>
  <c r="F21" i="153"/>
  <c r="E21" i="153"/>
  <c r="D22" i="153"/>
  <c r="F22" i="153"/>
  <c r="E22" i="153"/>
  <c r="D23" i="153"/>
  <c r="E23" i="153"/>
  <c r="U23" i="153"/>
  <c r="D24" i="153"/>
  <c r="E24" i="153"/>
  <c r="D25" i="153"/>
  <c r="F25" i="153"/>
  <c r="E25" i="153"/>
  <c r="D26" i="153"/>
  <c r="F26" i="153"/>
  <c r="E26" i="153"/>
  <c r="D27" i="153"/>
  <c r="F27" i="153"/>
  <c r="E27" i="153"/>
  <c r="D28" i="153"/>
  <c r="F28" i="153"/>
  <c r="E28" i="153"/>
  <c r="D29" i="153"/>
  <c r="E29" i="153"/>
  <c r="U29" i="153"/>
  <c r="D30" i="153"/>
  <c r="E30" i="153"/>
  <c r="D31" i="153"/>
  <c r="E31" i="153"/>
  <c r="D32" i="153"/>
  <c r="T32" i="153"/>
  <c r="E32" i="153"/>
  <c r="D33" i="153"/>
  <c r="E33" i="153"/>
  <c r="U33" i="153"/>
  <c r="D34" i="153"/>
  <c r="E34" i="153"/>
  <c r="D35" i="153"/>
  <c r="E35" i="153"/>
  <c r="Q12" i="153"/>
  <c r="P12" i="153"/>
  <c r="R12" i="153"/>
  <c r="M12" i="153"/>
  <c r="L12" i="153"/>
  <c r="N12" i="153"/>
  <c r="I12" i="153"/>
  <c r="H12" i="153"/>
  <c r="E12" i="153"/>
  <c r="D12" i="153"/>
  <c r="T12" i="153"/>
  <c r="D49" i="159"/>
  <c r="C13" i="156"/>
  <c r="D13" i="156"/>
  <c r="E13" i="156"/>
  <c r="J16" i="153"/>
  <c r="R18" i="153"/>
  <c r="N14" i="153"/>
  <c r="N33" i="153"/>
  <c r="N17" i="153"/>
  <c r="N29" i="153"/>
  <c r="F13" i="153"/>
  <c r="I10" i="156"/>
  <c r="F12" i="152"/>
  <c r="F13" i="152"/>
  <c r="G13" i="152"/>
  <c r="F14" i="152"/>
  <c r="F35" i="152"/>
  <c r="F15" i="152"/>
  <c r="F16" i="152"/>
  <c r="F17" i="152"/>
  <c r="F18" i="152"/>
  <c r="F19" i="152"/>
  <c r="G19" i="152"/>
  <c r="F20" i="152"/>
  <c r="F21" i="152"/>
  <c r="F22" i="152"/>
  <c r="F23" i="152"/>
  <c r="G23" i="152"/>
  <c r="F24" i="152"/>
  <c r="F25" i="152"/>
  <c r="F26" i="152"/>
  <c r="F27" i="152"/>
  <c r="F28" i="152"/>
  <c r="F29" i="152"/>
  <c r="F30" i="152"/>
  <c r="F31" i="152"/>
  <c r="F32" i="152"/>
  <c r="F33" i="152"/>
  <c r="G33" i="152"/>
  <c r="F34" i="152"/>
  <c r="F11" i="152"/>
  <c r="E12" i="152"/>
  <c r="G12" i="152"/>
  <c r="E13" i="152"/>
  <c r="E14" i="152"/>
  <c r="E15" i="152"/>
  <c r="G15" i="152"/>
  <c r="E16" i="152"/>
  <c r="G16" i="152"/>
  <c r="E17" i="152"/>
  <c r="G17" i="152"/>
  <c r="E18" i="152"/>
  <c r="E19" i="152"/>
  <c r="E20" i="152"/>
  <c r="G20" i="152"/>
  <c r="E21" i="152"/>
  <c r="G21" i="152"/>
  <c r="E22" i="152"/>
  <c r="G22" i="152"/>
  <c r="E23" i="152"/>
  <c r="E24" i="152"/>
  <c r="G24" i="152"/>
  <c r="E25" i="152"/>
  <c r="G25" i="152"/>
  <c r="E26" i="152"/>
  <c r="E27" i="152"/>
  <c r="G27" i="152"/>
  <c r="E28" i="152"/>
  <c r="G28" i="152"/>
  <c r="E29" i="152"/>
  <c r="G29" i="152"/>
  <c r="E30" i="152"/>
  <c r="E31" i="152"/>
  <c r="E32" i="152"/>
  <c r="G32" i="152"/>
  <c r="E33" i="152"/>
  <c r="E34" i="152"/>
  <c r="G34" i="152"/>
  <c r="E11" i="152"/>
  <c r="J12" i="152"/>
  <c r="J13" i="152"/>
  <c r="J14" i="152"/>
  <c r="J15" i="152"/>
  <c r="J16" i="152"/>
  <c r="J17" i="152"/>
  <c r="J18" i="152"/>
  <c r="J19" i="152"/>
  <c r="J20" i="152"/>
  <c r="J21" i="152"/>
  <c r="J22" i="152"/>
  <c r="J23" i="152"/>
  <c r="J24" i="152"/>
  <c r="J25" i="152"/>
  <c r="J26" i="152"/>
  <c r="J27" i="152"/>
  <c r="J28" i="152"/>
  <c r="J29" i="152"/>
  <c r="J30" i="152"/>
  <c r="J31" i="152"/>
  <c r="J32" i="152"/>
  <c r="J33" i="152"/>
  <c r="J34" i="152"/>
  <c r="J11" i="152"/>
  <c r="I35" i="152"/>
  <c r="H35" i="152"/>
  <c r="C35" i="152"/>
  <c r="D35" i="152"/>
  <c r="W35" i="78"/>
  <c r="AA17" i="153"/>
  <c r="AA15" i="153"/>
  <c r="AA19" i="153"/>
  <c r="AA20" i="153"/>
  <c r="AA22" i="153"/>
  <c r="AA23" i="153"/>
  <c r="AA27" i="153"/>
  <c r="AA28" i="153"/>
  <c r="AA32" i="153"/>
  <c r="AA34" i="153"/>
  <c r="AA35" i="153"/>
  <c r="AA12" i="153"/>
  <c r="X10" i="153"/>
  <c r="Y13" i="153"/>
  <c r="S13" i="153"/>
  <c r="S14" i="153"/>
  <c r="S15" i="153"/>
  <c r="S16" i="153"/>
  <c r="S17" i="153"/>
  <c r="S18" i="153"/>
  <c r="S19" i="153"/>
  <c r="S20" i="153"/>
  <c r="S21" i="153"/>
  <c r="S22" i="153"/>
  <c r="S23" i="153"/>
  <c r="S24" i="153"/>
  <c r="S25" i="153"/>
  <c r="S26" i="153"/>
  <c r="S27" i="153"/>
  <c r="S28" i="153"/>
  <c r="S29" i="153"/>
  <c r="S30" i="153"/>
  <c r="S31" i="153"/>
  <c r="S32" i="153"/>
  <c r="S33" i="153"/>
  <c r="S34" i="153"/>
  <c r="S35" i="153"/>
  <c r="S12" i="153"/>
  <c r="G36" i="153"/>
  <c r="K36" i="153"/>
  <c r="O36" i="153"/>
  <c r="C36" i="153"/>
  <c r="J31" i="156"/>
  <c r="M29" i="156"/>
  <c r="L29" i="156"/>
  <c r="K29" i="156"/>
  <c r="J29" i="156"/>
  <c r="M28" i="156"/>
  <c r="L28" i="156"/>
  <c r="K28" i="156"/>
  <c r="J28" i="156"/>
  <c r="N26" i="156"/>
  <c r="P26" i="156"/>
  <c r="M20" i="158"/>
  <c r="O20" i="158"/>
  <c r="C9" i="155"/>
  <c r="C10" i="155"/>
  <c r="F36" i="121"/>
  <c r="B13" i="56"/>
  <c r="D13" i="56"/>
  <c r="F13" i="56"/>
  <c r="H13" i="56"/>
  <c r="L13" i="56"/>
  <c r="J13" i="56"/>
  <c r="L12" i="56"/>
  <c r="L11" i="56"/>
  <c r="C10" i="160"/>
  <c r="C11" i="160"/>
  <c r="C12" i="160"/>
  <c r="C13" i="160"/>
  <c r="C14" i="160"/>
  <c r="C15" i="160"/>
  <c r="E15" i="160"/>
  <c r="C16" i="160"/>
  <c r="C17" i="160"/>
  <c r="C18" i="160"/>
  <c r="C19" i="160"/>
  <c r="C20" i="160"/>
  <c r="C21" i="160"/>
  <c r="E21" i="160"/>
  <c r="C22" i="160"/>
  <c r="C23" i="160"/>
  <c r="C24" i="160"/>
  <c r="C25" i="160"/>
  <c r="C26" i="160"/>
  <c r="C27" i="160"/>
  <c r="C28" i="160"/>
  <c r="C29" i="160"/>
  <c r="C30" i="160"/>
  <c r="C31" i="160"/>
  <c r="C32" i="160"/>
  <c r="E32" i="160"/>
  <c r="C9" i="160"/>
  <c r="Z12" i="144"/>
  <c r="AE12" i="144"/>
  <c r="AA12" i="144"/>
  <c r="AB12" i="144"/>
  <c r="AC12" i="144"/>
  <c r="Z13" i="144"/>
  <c r="AE13" i="144"/>
  <c r="AA13" i="144"/>
  <c r="AF13" i="144"/>
  <c r="AB13" i="144"/>
  <c r="AC13" i="144"/>
  <c r="AH13" i="144"/>
  <c r="Z14" i="144"/>
  <c r="AE14" i="144"/>
  <c r="AA14" i="144"/>
  <c r="AB14" i="144"/>
  <c r="AG14" i="144"/>
  <c r="AC14" i="144"/>
  <c r="Z15" i="144"/>
  <c r="AE15" i="144"/>
  <c r="AA15" i="144"/>
  <c r="AF15" i="144"/>
  <c r="AB15" i="144"/>
  <c r="AC15" i="144"/>
  <c r="AH15" i="144"/>
  <c r="Z16" i="144"/>
  <c r="AE16" i="144"/>
  <c r="AA16" i="144"/>
  <c r="AB16" i="144"/>
  <c r="AG16" i="144"/>
  <c r="AC16" i="144"/>
  <c r="Z17" i="144"/>
  <c r="AE17" i="144"/>
  <c r="AA17" i="144"/>
  <c r="AB17" i="144"/>
  <c r="AC17" i="144"/>
  <c r="Z18" i="144"/>
  <c r="AE18" i="144"/>
  <c r="AA18" i="144"/>
  <c r="AF18" i="144"/>
  <c r="AB18" i="144"/>
  <c r="AC18" i="144"/>
  <c r="Z19" i="144"/>
  <c r="AE19" i="144"/>
  <c r="AA19" i="144"/>
  <c r="AB19" i="144"/>
  <c r="AC19" i="144"/>
  <c r="Z20" i="144"/>
  <c r="AE20" i="144"/>
  <c r="AA20" i="144"/>
  <c r="AB20" i="144"/>
  <c r="AC20" i="144"/>
  <c r="Z21" i="144"/>
  <c r="AE21" i="144"/>
  <c r="AA21" i="144"/>
  <c r="AF21" i="144"/>
  <c r="AB21" i="144"/>
  <c r="AC21" i="144"/>
  <c r="AH21" i="144"/>
  <c r="Z22" i="144"/>
  <c r="AE22" i="144"/>
  <c r="AA22" i="144"/>
  <c r="AB22" i="144"/>
  <c r="AG22" i="144"/>
  <c r="AC22" i="144"/>
  <c r="Z23" i="144"/>
  <c r="AE23" i="144"/>
  <c r="AA23" i="144"/>
  <c r="AB23" i="144"/>
  <c r="AC23" i="144"/>
  <c r="AH23" i="144"/>
  <c r="Z24" i="144"/>
  <c r="AE24" i="144"/>
  <c r="AA24" i="144"/>
  <c r="AB24" i="144"/>
  <c r="AG24" i="144"/>
  <c r="AC24" i="144"/>
  <c r="AH24" i="144"/>
  <c r="Z25" i="144"/>
  <c r="AE25" i="144"/>
  <c r="AA25" i="144"/>
  <c r="AB25" i="144"/>
  <c r="AG25" i="144"/>
  <c r="AC25" i="144"/>
  <c r="Z26" i="144"/>
  <c r="AE26" i="144"/>
  <c r="AA26" i="144"/>
  <c r="AB26" i="144"/>
  <c r="AG26" i="144"/>
  <c r="AC26" i="144"/>
  <c r="AH26" i="144"/>
  <c r="Z27" i="144"/>
  <c r="AE27" i="144"/>
  <c r="AA27" i="144"/>
  <c r="AB27" i="144"/>
  <c r="AG27" i="144"/>
  <c r="AC27" i="144"/>
  <c r="Z28" i="144"/>
  <c r="AE28" i="144"/>
  <c r="AA28" i="144"/>
  <c r="AF28" i="144"/>
  <c r="AB28" i="144"/>
  <c r="AC28" i="144"/>
  <c r="Z29" i="144"/>
  <c r="AE29" i="144"/>
  <c r="AA29" i="144"/>
  <c r="AF29" i="144"/>
  <c r="AB29" i="144"/>
  <c r="AC29" i="144"/>
  <c r="Z30" i="144"/>
  <c r="AE30" i="144"/>
  <c r="AA30" i="144"/>
  <c r="AB30" i="144"/>
  <c r="AG30" i="144"/>
  <c r="AC30" i="144"/>
  <c r="Z31" i="144"/>
  <c r="AE31" i="144"/>
  <c r="AA31" i="144"/>
  <c r="AB31" i="144"/>
  <c r="AC31" i="144"/>
  <c r="AH31" i="144"/>
  <c r="Z32" i="144"/>
  <c r="AE32" i="144"/>
  <c r="AA32" i="144"/>
  <c r="AB32" i="144"/>
  <c r="AC32" i="144"/>
  <c r="Z33" i="144"/>
  <c r="AE33" i="144"/>
  <c r="AA33" i="144"/>
  <c r="AB33" i="144"/>
  <c r="AC33" i="144"/>
  <c r="Z34" i="144"/>
  <c r="AE34" i="144"/>
  <c r="AA34" i="144"/>
  <c r="AB34" i="144"/>
  <c r="AC34" i="144"/>
  <c r="AA11" i="144"/>
  <c r="AF11" i="144"/>
  <c r="AB11" i="144"/>
  <c r="AC11" i="144"/>
  <c r="Z11" i="144"/>
  <c r="AE11" i="144"/>
  <c r="Z12" i="29"/>
  <c r="AE12" i="29"/>
  <c r="AA12" i="29"/>
  <c r="AB12" i="29"/>
  <c r="AC12" i="29"/>
  <c r="AH12" i="29"/>
  <c r="Z13" i="29"/>
  <c r="AA13" i="29"/>
  <c r="AB13" i="29"/>
  <c r="AG13" i="29"/>
  <c r="AC13" i="29"/>
  <c r="Z14" i="29"/>
  <c r="AA14" i="29"/>
  <c r="AF14" i="29"/>
  <c r="AB14" i="29"/>
  <c r="AC14" i="29"/>
  <c r="Z15" i="29"/>
  <c r="AE15" i="29"/>
  <c r="AA15" i="29"/>
  <c r="AF15" i="29"/>
  <c r="AB15" i="29"/>
  <c r="AG15" i="29"/>
  <c r="AC15" i="29"/>
  <c r="Z16" i="29"/>
  <c r="AE16" i="29"/>
  <c r="AA16" i="29"/>
  <c r="AB16" i="29"/>
  <c r="AC16" i="29"/>
  <c r="AH16" i="29"/>
  <c r="Z17" i="29"/>
  <c r="AE17" i="29"/>
  <c r="AA17" i="29"/>
  <c r="AF17" i="29"/>
  <c r="AB17" i="29"/>
  <c r="AC17" i="29"/>
  <c r="AH17" i="29"/>
  <c r="Z18" i="29"/>
  <c r="AE18" i="29"/>
  <c r="AA18" i="29"/>
  <c r="AB18" i="29"/>
  <c r="AG18" i="29"/>
  <c r="AC18" i="29"/>
  <c r="AH18" i="29"/>
  <c r="Z19" i="29"/>
  <c r="AA19" i="29"/>
  <c r="AF19" i="29"/>
  <c r="AB19" i="29"/>
  <c r="AC19" i="29"/>
  <c r="Z20" i="29"/>
  <c r="AE20" i="29"/>
  <c r="AA20" i="29"/>
  <c r="AB20" i="29"/>
  <c r="AC20" i="29"/>
  <c r="AH20" i="29"/>
  <c r="Z21" i="29"/>
  <c r="AA21" i="29"/>
  <c r="AB21" i="29"/>
  <c r="AG21" i="29"/>
  <c r="AC21" i="29"/>
  <c r="AH21" i="29"/>
  <c r="Z22" i="29"/>
  <c r="AA22" i="29"/>
  <c r="AB22" i="29"/>
  <c r="AG22" i="29"/>
  <c r="AC22" i="29"/>
  <c r="AH22" i="29"/>
  <c r="Z23" i="29"/>
  <c r="AA23" i="29"/>
  <c r="AB23" i="29"/>
  <c r="AG23" i="29"/>
  <c r="AC23" i="29"/>
  <c r="AH23" i="29"/>
  <c r="Z24" i="29"/>
  <c r="AA24" i="29"/>
  <c r="AF24" i="29"/>
  <c r="AB24" i="29"/>
  <c r="AC24" i="29"/>
  <c r="AH24" i="29"/>
  <c r="Z25" i="29"/>
  <c r="AE25" i="29"/>
  <c r="AA25" i="29"/>
  <c r="AB25" i="29"/>
  <c r="AG25" i="29"/>
  <c r="AC25" i="29"/>
  <c r="AH25" i="29"/>
  <c r="Z26" i="29"/>
  <c r="AA26" i="29"/>
  <c r="AF26" i="29"/>
  <c r="AB26" i="29"/>
  <c r="AC26" i="29"/>
  <c r="AH26" i="29"/>
  <c r="Z27" i="29"/>
  <c r="AE27" i="29"/>
  <c r="AA27" i="29"/>
  <c r="AB27" i="29"/>
  <c r="AC27" i="29"/>
  <c r="Z28" i="29"/>
  <c r="AA28" i="29"/>
  <c r="AB28" i="29"/>
  <c r="AG28" i="29"/>
  <c r="AC28" i="29"/>
  <c r="Z29" i="29"/>
  <c r="AA29" i="29"/>
  <c r="AB29" i="29"/>
  <c r="AC29" i="29"/>
  <c r="Z30" i="29"/>
  <c r="AA30" i="29"/>
  <c r="AB30" i="29"/>
  <c r="AC30" i="29"/>
  <c r="AH30" i="29"/>
  <c r="Z31" i="29"/>
  <c r="AA31" i="29"/>
  <c r="AB31" i="29"/>
  <c r="AG31" i="29"/>
  <c r="AC31" i="29"/>
  <c r="Z32" i="29"/>
  <c r="AA32" i="29"/>
  <c r="AB32" i="29"/>
  <c r="AG32" i="29"/>
  <c r="AC32" i="29"/>
  <c r="Z33" i="29"/>
  <c r="AE33" i="29"/>
  <c r="AA33" i="29"/>
  <c r="AF33" i="29"/>
  <c r="AB33" i="29"/>
  <c r="AC33" i="29"/>
  <c r="AH33" i="29"/>
  <c r="Z34" i="29"/>
  <c r="AA34" i="29"/>
  <c r="AB34" i="29"/>
  <c r="AC34" i="29"/>
  <c r="AH34" i="29"/>
  <c r="AA11" i="29"/>
  <c r="AF11" i="29"/>
  <c r="AB11" i="29"/>
  <c r="AC11" i="29"/>
  <c r="Z11" i="29"/>
  <c r="AE11" i="29"/>
  <c r="AH31" i="29"/>
  <c r="AH19" i="29"/>
  <c r="AH29" i="29"/>
  <c r="I40" i="157"/>
  <c r="I41" i="157"/>
  <c r="I42" i="157"/>
  <c r="I43" i="157"/>
  <c r="I44" i="157"/>
  <c r="I45" i="157"/>
  <c r="I46" i="157"/>
  <c r="I47" i="157"/>
  <c r="I48" i="157"/>
  <c r="I49" i="157"/>
  <c r="I50" i="157"/>
  <c r="I51" i="157"/>
  <c r="I52" i="157"/>
  <c r="I53" i="157"/>
  <c r="I54" i="157"/>
  <c r="I55" i="157"/>
  <c r="I56" i="157"/>
  <c r="I57" i="157"/>
  <c r="I58" i="157"/>
  <c r="I59" i="157"/>
  <c r="I60" i="157"/>
  <c r="I61" i="157"/>
  <c r="I62" i="157"/>
  <c r="I39" i="157"/>
  <c r="K10" i="157"/>
  <c r="K11" i="157"/>
  <c r="K12" i="157"/>
  <c r="K13" i="157"/>
  <c r="K14" i="157"/>
  <c r="K15" i="157"/>
  <c r="K16" i="157"/>
  <c r="K17" i="157"/>
  <c r="K18" i="157"/>
  <c r="K19" i="157"/>
  <c r="K20" i="157"/>
  <c r="K21" i="157"/>
  <c r="K22" i="157"/>
  <c r="K23" i="157"/>
  <c r="K24" i="157"/>
  <c r="K25" i="157"/>
  <c r="K26" i="157"/>
  <c r="K27" i="157"/>
  <c r="K28" i="157"/>
  <c r="K29" i="157"/>
  <c r="K30" i="157"/>
  <c r="K31" i="157"/>
  <c r="K32" i="157"/>
  <c r="K9" i="157"/>
  <c r="K10" i="158"/>
  <c r="L10" i="158"/>
  <c r="K11" i="158"/>
  <c r="L11" i="158"/>
  <c r="K17" i="158"/>
  <c r="L17" i="158"/>
  <c r="K18" i="158"/>
  <c r="L18" i="158"/>
  <c r="K19" i="158"/>
  <c r="L19" i="158"/>
  <c r="K21" i="158"/>
  <c r="L21" i="158"/>
  <c r="K22" i="158"/>
  <c r="L22" i="158"/>
  <c r="K23" i="158"/>
  <c r="L23" i="158"/>
  <c r="K24" i="158"/>
  <c r="L24" i="158"/>
  <c r="K25" i="158"/>
  <c r="L25" i="158"/>
  <c r="K26" i="158"/>
  <c r="L26" i="158"/>
  <c r="K27" i="158"/>
  <c r="L27" i="158"/>
  <c r="K28" i="158"/>
  <c r="L28" i="158"/>
  <c r="K29" i="158"/>
  <c r="L29" i="158"/>
  <c r="K30" i="158"/>
  <c r="L30" i="158"/>
  <c r="K31" i="158"/>
  <c r="L31" i="158"/>
  <c r="K32" i="158"/>
  <c r="L32" i="158"/>
  <c r="L9" i="158"/>
  <c r="K9" i="158"/>
  <c r="J19" i="159"/>
  <c r="J27" i="159"/>
  <c r="G25" i="159"/>
  <c r="G10" i="158"/>
  <c r="H10" i="158"/>
  <c r="G11" i="158"/>
  <c r="H11" i="158"/>
  <c r="N11" i="158"/>
  <c r="G17" i="158"/>
  <c r="H17" i="158"/>
  <c r="G18" i="158"/>
  <c r="H18" i="158"/>
  <c r="G19" i="158"/>
  <c r="H19" i="158"/>
  <c r="N19" i="158"/>
  <c r="G21" i="158"/>
  <c r="M21" i="158"/>
  <c r="H21" i="158"/>
  <c r="G22" i="158"/>
  <c r="H22" i="158"/>
  <c r="G23" i="158"/>
  <c r="H23" i="158"/>
  <c r="G24" i="158"/>
  <c r="H24" i="158"/>
  <c r="G25" i="158"/>
  <c r="M25" i="158"/>
  <c r="H25" i="158"/>
  <c r="G26" i="158"/>
  <c r="N26" i="158"/>
  <c r="H26" i="158"/>
  <c r="G27" i="158"/>
  <c r="M27" i="158"/>
  <c r="H27" i="158"/>
  <c r="G28" i="158"/>
  <c r="H28" i="158"/>
  <c r="G29" i="158"/>
  <c r="M29" i="158"/>
  <c r="H29" i="158"/>
  <c r="G30" i="158"/>
  <c r="H30" i="158"/>
  <c r="H33" i="158"/>
  <c r="G31" i="158"/>
  <c r="H31" i="158"/>
  <c r="N31" i="158"/>
  <c r="G32" i="158"/>
  <c r="H32" i="158"/>
  <c r="H9" i="158"/>
  <c r="M9" i="158"/>
  <c r="O9" i="158"/>
  <c r="G9" i="158"/>
  <c r="G40" i="158"/>
  <c r="H40" i="158"/>
  <c r="G41" i="158"/>
  <c r="H41" i="158"/>
  <c r="G42" i="158"/>
  <c r="H42" i="158"/>
  <c r="G43" i="158"/>
  <c r="H43" i="158"/>
  <c r="G44" i="158"/>
  <c r="H44" i="158"/>
  <c r="G45" i="158"/>
  <c r="H45" i="158"/>
  <c r="G46" i="158"/>
  <c r="H46" i="158"/>
  <c r="G47" i="158"/>
  <c r="H47" i="158"/>
  <c r="G48" i="158"/>
  <c r="H48" i="158"/>
  <c r="G49" i="158"/>
  <c r="H49" i="158"/>
  <c r="G50" i="158"/>
  <c r="H50" i="158"/>
  <c r="G51" i="158"/>
  <c r="H51" i="158"/>
  <c r="G52" i="158"/>
  <c r="H52" i="158"/>
  <c r="G53" i="158"/>
  <c r="H53" i="158"/>
  <c r="G54" i="158"/>
  <c r="H54" i="158"/>
  <c r="G55" i="158"/>
  <c r="H55" i="158"/>
  <c r="G56" i="158"/>
  <c r="H56" i="158"/>
  <c r="G57" i="158"/>
  <c r="H57" i="158"/>
  <c r="G58" i="158"/>
  <c r="H58" i="158"/>
  <c r="G59" i="158"/>
  <c r="H59" i="158"/>
  <c r="G60" i="158"/>
  <c r="H60" i="158"/>
  <c r="G61" i="158"/>
  <c r="H61" i="158"/>
  <c r="G62" i="158"/>
  <c r="H62" i="158"/>
  <c r="H39" i="158"/>
  <c r="H63" i="158"/>
  <c r="G39" i="158"/>
  <c r="I10" i="158"/>
  <c r="J10" i="158"/>
  <c r="I11" i="158"/>
  <c r="J11" i="158"/>
  <c r="I17" i="158"/>
  <c r="J17" i="158"/>
  <c r="I18" i="158"/>
  <c r="J18" i="158"/>
  <c r="I19" i="158"/>
  <c r="J19" i="158"/>
  <c r="I21" i="158"/>
  <c r="O21" i="158"/>
  <c r="J21" i="158"/>
  <c r="I22" i="158"/>
  <c r="J22" i="158"/>
  <c r="I23" i="158"/>
  <c r="J23" i="158"/>
  <c r="I24" i="158"/>
  <c r="J24" i="158"/>
  <c r="I25" i="158"/>
  <c r="O25" i="158"/>
  <c r="J25" i="158"/>
  <c r="I26" i="158"/>
  <c r="J26" i="158"/>
  <c r="I27" i="158"/>
  <c r="J27" i="158"/>
  <c r="I28" i="158"/>
  <c r="J28" i="158"/>
  <c r="I29" i="158"/>
  <c r="J29" i="158"/>
  <c r="I30" i="158"/>
  <c r="J30" i="158"/>
  <c r="I31" i="158"/>
  <c r="J31" i="158"/>
  <c r="I32" i="158"/>
  <c r="J32" i="158"/>
  <c r="J9" i="158"/>
  <c r="I9" i="158"/>
  <c r="M10" i="157"/>
  <c r="M11" i="157"/>
  <c r="M12" i="157"/>
  <c r="M13" i="157"/>
  <c r="M14" i="157"/>
  <c r="M15" i="157"/>
  <c r="M16" i="157"/>
  <c r="M17" i="157"/>
  <c r="M18" i="157"/>
  <c r="M19" i="157"/>
  <c r="M20" i="157"/>
  <c r="M21" i="157"/>
  <c r="M22" i="157"/>
  <c r="M23" i="157"/>
  <c r="M24" i="157"/>
  <c r="M25" i="157"/>
  <c r="M26" i="157"/>
  <c r="M27" i="157"/>
  <c r="M28" i="157"/>
  <c r="M29" i="157"/>
  <c r="M30" i="157"/>
  <c r="M31" i="157"/>
  <c r="M32" i="157"/>
  <c r="M9" i="157"/>
  <c r="L10" i="157"/>
  <c r="L11" i="157"/>
  <c r="L12" i="157"/>
  <c r="L13" i="157"/>
  <c r="L14" i="157"/>
  <c r="L15" i="157"/>
  <c r="L16" i="157"/>
  <c r="L17" i="157"/>
  <c r="L18" i="157"/>
  <c r="L19" i="157"/>
  <c r="L20" i="157"/>
  <c r="L21" i="157"/>
  <c r="L22" i="157"/>
  <c r="L23" i="157"/>
  <c r="L24" i="157"/>
  <c r="L25" i="157"/>
  <c r="L26" i="157"/>
  <c r="L27" i="157"/>
  <c r="L28" i="157"/>
  <c r="L29" i="157"/>
  <c r="L30" i="157"/>
  <c r="L31" i="157"/>
  <c r="L32" i="157"/>
  <c r="L9" i="157"/>
  <c r="J14" i="159"/>
  <c r="F20" i="159"/>
  <c r="I20" i="159"/>
  <c r="E41" i="159"/>
  <c r="F19" i="159"/>
  <c r="H19" i="159"/>
  <c r="G20" i="159"/>
  <c r="G19" i="159"/>
  <c r="G13" i="159"/>
  <c r="G12" i="159"/>
  <c r="G11" i="159"/>
  <c r="J4" i="159"/>
  <c r="G6" i="159"/>
  <c r="G5" i="159"/>
  <c r="G4" i="159"/>
  <c r="C32" i="159"/>
  <c r="F6" i="159"/>
  <c r="I6" i="159"/>
  <c r="E34" i="159"/>
  <c r="F5" i="159"/>
  <c r="I5" i="159"/>
  <c r="E33" i="159"/>
  <c r="F4" i="159"/>
  <c r="C27" i="159"/>
  <c r="C21" i="159"/>
  <c r="C14" i="159"/>
  <c r="C7" i="159"/>
  <c r="C35" i="156"/>
  <c r="H40" i="157"/>
  <c r="H41" i="157"/>
  <c r="H42" i="157"/>
  <c r="H43" i="157"/>
  <c r="H44" i="157"/>
  <c r="H45" i="157"/>
  <c r="H46" i="157"/>
  <c r="H47" i="157"/>
  <c r="H48" i="157"/>
  <c r="H49" i="157"/>
  <c r="H50" i="157"/>
  <c r="H51" i="157"/>
  <c r="H52" i="157"/>
  <c r="H53" i="157"/>
  <c r="H54" i="157"/>
  <c r="H55" i="157"/>
  <c r="H56" i="157"/>
  <c r="H57" i="157"/>
  <c r="H58" i="157"/>
  <c r="H59" i="157"/>
  <c r="H60" i="157"/>
  <c r="H61" i="157"/>
  <c r="H62" i="157"/>
  <c r="H39" i="157"/>
  <c r="J10" i="157"/>
  <c r="J11" i="157"/>
  <c r="J12" i="157"/>
  <c r="J13" i="157"/>
  <c r="J14" i="157"/>
  <c r="J15" i="157"/>
  <c r="J16" i="157"/>
  <c r="J17" i="157"/>
  <c r="J18" i="157"/>
  <c r="J19" i="157"/>
  <c r="J20" i="157"/>
  <c r="J21" i="157"/>
  <c r="J22" i="157"/>
  <c r="J23" i="157"/>
  <c r="J24" i="157"/>
  <c r="J25" i="157"/>
  <c r="J26" i="157"/>
  <c r="J27" i="157"/>
  <c r="J28" i="157"/>
  <c r="J29" i="157"/>
  <c r="J30" i="157"/>
  <c r="J31" i="157"/>
  <c r="J32" i="157"/>
  <c r="J9" i="157"/>
  <c r="D63" i="158"/>
  <c r="C63" i="158"/>
  <c r="F33" i="158"/>
  <c r="E33" i="158"/>
  <c r="D33" i="158"/>
  <c r="C33" i="158"/>
  <c r="E63" i="157"/>
  <c r="D63" i="157"/>
  <c r="C63" i="157"/>
  <c r="G33" i="157"/>
  <c r="F33" i="157"/>
  <c r="E33" i="157"/>
  <c r="D33" i="157"/>
  <c r="C33" i="157"/>
  <c r="I32" i="157"/>
  <c r="H32" i="157"/>
  <c r="I31" i="157"/>
  <c r="H31" i="157"/>
  <c r="I30" i="157"/>
  <c r="O30" i="157"/>
  <c r="H30" i="157"/>
  <c r="I29" i="157"/>
  <c r="O29" i="157"/>
  <c r="H29" i="157"/>
  <c r="I28" i="157"/>
  <c r="H28" i="157"/>
  <c r="N28" i="157"/>
  <c r="I27" i="157"/>
  <c r="H27" i="157"/>
  <c r="N27" i="157"/>
  <c r="I26" i="157"/>
  <c r="H26" i="157"/>
  <c r="O26" i="157"/>
  <c r="I25" i="157"/>
  <c r="H25" i="157"/>
  <c r="I24" i="157"/>
  <c r="O24" i="157"/>
  <c r="H24" i="157"/>
  <c r="I23" i="157"/>
  <c r="H23" i="157"/>
  <c r="O23" i="157"/>
  <c r="I22" i="157"/>
  <c r="H22" i="157"/>
  <c r="H33" i="157"/>
  <c r="I21" i="157"/>
  <c r="O21" i="157"/>
  <c r="H21" i="157"/>
  <c r="I20" i="157"/>
  <c r="H20" i="157"/>
  <c r="N20" i="157"/>
  <c r="I19" i="157"/>
  <c r="H19" i="157"/>
  <c r="N19" i="157"/>
  <c r="P19" i="157"/>
  <c r="I18" i="157"/>
  <c r="H18" i="157"/>
  <c r="N18" i="157"/>
  <c r="I17" i="157"/>
  <c r="N17" i="157"/>
  <c r="H17" i="157"/>
  <c r="I16" i="157"/>
  <c r="N16" i="157"/>
  <c r="P16" i="157"/>
  <c r="H16" i="157"/>
  <c r="I15" i="157"/>
  <c r="N15" i="157"/>
  <c r="H15" i="157"/>
  <c r="I14" i="157"/>
  <c r="H14" i="157"/>
  <c r="I13" i="157"/>
  <c r="O13" i="157"/>
  <c r="H13" i="157"/>
  <c r="I12" i="157"/>
  <c r="N12" i="157"/>
  <c r="H12" i="157"/>
  <c r="I11" i="157"/>
  <c r="H11" i="157"/>
  <c r="N11" i="157"/>
  <c r="I10" i="157"/>
  <c r="H10" i="157"/>
  <c r="I9" i="157"/>
  <c r="H9" i="157"/>
  <c r="J12" i="146"/>
  <c r="K12" i="146"/>
  <c r="I12" i="146"/>
  <c r="J13" i="146"/>
  <c r="J14" i="146"/>
  <c r="J15" i="146"/>
  <c r="K15" i="146"/>
  <c r="I15" i="146"/>
  <c r="J16" i="146"/>
  <c r="K16" i="146"/>
  <c r="J17" i="146"/>
  <c r="K17" i="146"/>
  <c r="I17" i="146"/>
  <c r="J18" i="146"/>
  <c r="J19" i="146"/>
  <c r="J20" i="146"/>
  <c r="K20" i="146"/>
  <c r="I20" i="146"/>
  <c r="J21" i="146"/>
  <c r="K21" i="146"/>
  <c r="J22" i="146"/>
  <c r="I22" i="146"/>
  <c r="K22" i="146"/>
  <c r="J23" i="146"/>
  <c r="J24" i="146"/>
  <c r="K24" i="146"/>
  <c r="J25" i="146"/>
  <c r="J26" i="146"/>
  <c r="J27" i="146"/>
  <c r="J28" i="146"/>
  <c r="K28" i="146"/>
  <c r="J29" i="146"/>
  <c r="J30" i="146"/>
  <c r="J31" i="146"/>
  <c r="J32" i="146"/>
  <c r="K32" i="146"/>
  <c r="I32" i="146"/>
  <c r="J33" i="146"/>
  <c r="J34" i="146"/>
  <c r="J11" i="146"/>
  <c r="K11" i="146"/>
  <c r="K23" i="146"/>
  <c r="I23" i="146"/>
  <c r="F12" i="146"/>
  <c r="E12" i="146"/>
  <c r="F13" i="146"/>
  <c r="P13" i="146"/>
  <c r="F14" i="146"/>
  <c r="E14" i="146"/>
  <c r="F15" i="146"/>
  <c r="F16" i="146"/>
  <c r="E16" i="146"/>
  <c r="F17" i="146"/>
  <c r="P17" i="146"/>
  <c r="F18" i="146"/>
  <c r="E18" i="146"/>
  <c r="F19" i="146"/>
  <c r="P19" i="146"/>
  <c r="F20" i="146"/>
  <c r="F21" i="146"/>
  <c r="E21" i="146"/>
  <c r="F22" i="146"/>
  <c r="E22" i="146"/>
  <c r="F23" i="146"/>
  <c r="F24" i="146"/>
  <c r="E24" i="146"/>
  <c r="F25" i="146"/>
  <c r="E25" i="146"/>
  <c r="F26" i="146"/>
  <c r="E26" i="146"/>
  <c r="F27" i="146"/>
  <c r="P27" i="146"/>
  <c r="F28" i="146"/>
  <c r="E28" i="146"/>
  <c r="F29" i="146"/>
  <c r="P29" i="146"/>
  <c r="E29" i="146"/>
  <c r="F30" i="146"/>
  <c r="E30" i="146"/>
  <c r="F31" i="146"/>
  <c r="F32" i="146"/>
  <c r="E32" i="146"/>
  <c r="F33" i="146"/>
  <c r="E33" i="146"/>
  <c r="F34" i="146"/>
  <c r="E34" i="146"/>
  <c r="F11" i="146"/>
  <c r="P11" i="146"/>
  <c r="J12" i="147"/>
  <c r="K12" i="147"/>
  <c r="J13" i="147"/>
  <c r="J14" i="147"/>
  <c r="K14" i="147"/>
  <c r="J15" i="147"/>
  <c r="J16" i="147"/>
  <c r="J17" i="147"/>
  <c r="J18" i="147"/>
  <c r="K18" i="147"/>
  <c r="J19" i="147"/>
  <c r="J20" i="147"/>
  <c r="J21" i="147"/>
  <c r="K21" i="147"/>
  <c r="J22" i="147"/>
  <c r="J23" i="147"/>
  <c r="J24" i="147"/>
  <c r="J25" i="147"/>
  <c r="J26" i="147"/>
  <c r="J27" i="147"/>
  <c r="J28" i="147"/>
  <c r="J29" i="147"/>
  <c r="J30" i="147"/>
  <c r="K30" i="147"/>
  <c r="J31" i="147"/>
  <c r="J32" i="147"/>
  <c r="J33" i="147"/>
  <c r="K33" i="147"/>
  <c r="I33" i="147"/>
  <c r="J34" i="147"/>
  <c r="J11" i="147"/>
  <c r="F12" i="147"/>
  <c r="P12" i="147"/>
  <c r="F13" i="147"/>
  <c r="P13" i="147"/>
  <c r="F14" i="147"/>
  <c r="F15" i="147"/>
  <c r="P15" i="147"/>
  <c r="F16" i="147"/>
  <c r="P16" i="147"/>
  <c r="F17" i="147"/>
  <c r="P17" i="147"/>
  <c r="F18" i="147"/>
  <c r="E18" i="147"/>
  <c r="F19" i="147"/>
  <c r="P19" i="147"/>
  <c r="F20" i="147"/>
  <c r="F21" i="147"/>
  <c r="P21" i="147"/>
  <c r="F22" i="147"/>
  <c r="E22" i="147"/>
  <c r="F23" i="147"/>
  <c r="P23" i="147"/>
  <c r="F24" i="147"/>
  <c r="P24" i="147"/>
  <c r="F25" i="147"/>
  <c r="F26" i="147"/>
  <c r="E26" i="147"/>
  <c r="F27" i="147"/>
  <c r="P27" i="147"/>
  <c r="F28" i="147"/>
  <c r="F29" i="147"/>
  <c r="P29" i="147"/>
  <c r="F30" i="147"/>
  <c r="E30" i="147"/>
  <c r="F31" i="147"/>
  <c r="F32" i="147"/>
  <c r="F33" i="147"/>
  <c r="P33" i="147"/>
  <c r="F34" i="147"/>
  <c r="E34" i="147"/>
  <c r="F11" i="147"/>
  <c r="P11" i="147"/>
  <c r="C35" i="147"/>
  <c r="C35" i="146"/>
  <c r="J12" i="145"/>
  <c r="K12" i="145"/>
  <c r="J13" i="145"/>
  <c r="K13" i="145"/>
  <c r="I13" i="145"/>
  <c r="J14" i="145"/>
  <c r="J15" i="145"/>
  <c r="K15" i="145"/>
  <c r="J16" i="145"/>
  <c r="K16" i="145"/>
  <c r="I16" i="145"/>
  <c r="J17" i="145"/>
  <c r="J18" i="145"/>
  <c r="K18" i="145"/>
  <c r="I18" i="145"/>
  <c r="J19" i="145"/>
  <c r="K19" i="145"/>
  <c r="I19" i="145"/>
  <c r="J20" i="145"/>
  <c r="K20" i="145"/>
  <c r="J21" i="145"/>
  <c r="K21" i="145"/>
  <c r="I21" i="145"/>
  <c r="J22" i="145"/>
  <c r="J23" i="145"/>
  <c r="K23" i="145"/>
  <c r="I23" i="145"/>
  <c r="J24" i="145"/>
  <c r="K24" i="145"/>
  <c r="J25" i="145"/>
  <c r="J26" i="145"/>
  <c r="J27" i="145"/>
  <c r="J28" i="145"/>
  <c r="K28" i="145"/>
  <c r="I28" i="145"/>
  <c r="J29" i="145"/>
  <c r="K29" i="145"/>
  <c r="J30" i="145"/>
  <c r="K30" i="145"/>
  <c r="I30" i="145"/>
  <c r="J31" i="145"/>
  <c r="K31" i="145"/>
  <c r="J32" i="145"/>
  <c r="J33" i="145"/>
  <c r="J34" i="145"/>
  <c r="K34" i="145"/>
  <c r="I34" i="145"/>
  <c r="J11" i="145"/>
  <c r="F12" i="145"/>
  <c r="P12" i="145"/>
  <c r="F13" i="145"/>
  <c r="P13" i="145"/>
  <c r="F14" i="145"/>
  <c r="P14" i="145"/>
  <c r="F15" i="145"/>
  <c r="P15" i="145"/>
  <c r="F16" i="145"/>
  <c r="F17" i="145"/>
  <c r="P17" i="145"/>
  <c r="F18" i="145"/>
  <c r="P18" i="145"/>
  <c r="F19" i="145"/>
  <c r="F20" i="145"/>
  <c r="E20" i="145"/>
  <c r="F21" i="145"/>
  <c r="P21" i="145"/>
  <c r="F22" i="145"/>
  <c r="P22" i="145"/>
  <c r="F23" i="145"/>
  <c r="F24" i="145"/>
  <c r="E24" i="145"/>
  <c r="F25" i="145"/>
  <c r="P25" i="145"/>
  <c r="F26" i="145"/>
  <c r="E26" i="145"/>
  <c r="F27" i="145"/>
  <c r="P27" i="145"/>
  <c r="F28" i="145"/>
  <c r="P28" i="145"/>
  <c r="F29" i="145"/>
  <c r="P29" i="145"/>
  <c r="F30" i="145"/>
  <c r="E30" i="145"/>
  <c r="F31" i="145"/>
  <c r="P31" i="145"/>
  <c r="F32" i="145"/>
  <c r="E32" i="145"/>
  <c r="F33" i="145"/>
  <c r="P33" i="145"/>
  <c r="F34" i="145"/>
  <c r="P34" i="145"/>
  <c r="F11" i="145"/>
  <c r="C35" i="145"/>
  <c r="G12" i="144"/>
  <c r="N12" i="144"/>
  <c r="G13" i="144"/>
  <c r="N13" i="144"/>
  <c r="M13" i="144"/>
  <c r="G14" i="144"/>
  <c r="N14" i="144"/>
  <c r="O14" i="144"/>
  <c r="G15" i="144"/>
  <c r="G16" i="144"/>
  <c r="G17" i="144"/>
  <c r="G18" i="144"/>
  <c r="N18" i="144"/>
  <c r="G19" i="144"/>
  <c r="G20" i="144"/>
  <c r="G21" i="144"/>
  <c r="J21" i="144"/>
  <c r="I21" i="144"/>
  <c r="N21" i="144"/>
  <c r="G22" i="144"/>
  <c r="N22" i="144"/>
  <c r="G23" i="144"/>
  <c r="N23" i="144"/>
  <c r="G24" i="144"/>
  <c r="N24" i="144"/>
  <c r="G25" i="144"/>
  <c r="N25" i="144"/>
  <c r="G26" i="144"/>
  <c r="N26" i="144"/>
  <c r="G27" i="144"/>
  <c r="J27" i="144"/>
  <c r="T27" i="144"/>
  <c r="G28" i="144"/>
  <c r="G29" i="144"/>
  <c r="G30" i="144"/>
  <c r="G31" i="144"/>
  <c r="J31" i="144"/>
  <c r="G32" i="144"/>
  <c r="N32" i="144"/>
  <c r="G33" i="144"/>
  <c r="G34" i="144"/>
  <c r="N34" i="144"/>
  <c r="G11" i="144"/>
  <c r="C35" i="144"/>
  <c r="D35" i="144"/>
  <c r="F35" i="144"/>
  <c r="AF12" i="144"/>
  <c r="AG12" i="144"/>
  <c r="AH12" i="144"/>
  <c r="AG13" i="144"/>
  <c r="AF14" i="144"/>
  <c r="AH14" i="144"/>
  <c r="AG15" i="144"/>
  <c r="AF16" i="144"/>
  <c r="AH16" i="144"/>
  <c r="AF17" i="144"/>
  <c r="AG17" i="144"/>
  <c r="AH17" i="144"/>
  <c r="AG18" i="144"/>
  <c r="AH18" i="144"/>
  <c r="AF19" i="144"/>
  <c r="AG19" i="144"/>
  <c r="AH19" i="144"/>
  <c r="AF20" i="144"/>
  <c r="AG20" i="144"/>
  <c r="AH20" i="144"/>
  <c r="AG21" i="144"/>
  <c r="AF22" i="144"/>
  <c r="AH22" i="144"/>
  <c r="AF23" i="144"/>
  <c r="AG23" i="144"/>
  <c r="AF24" i="144"/>
  <c r="AF25" i="144"/>
  <c r="AH25" i="144"/>
  <c r="AF26" i="144"/>
  <c r="AF27" i="144"/>
  <c r="AH27" i="144"/>
  <c r="AG28" i="144"/>
  <c r="AH28" i="144"/>
  <c r="AG29" i="144"/>
  <c r="AH29" i="144"/>
  <c r="AF30" i="144"/>
  <c r="AH30" i="144"/>
  <c r="AF31" i="144"/>
  <c r="AG31" i="144"/>
  <c r="AF32" i="144"/>
  <c r="AG32" i="144"/>
  <c r="AH32" i="144"/>
  <c r="AF33" i="144"/>
  <c r="AG33" i="144"/>
  <c r="AH33" i="144"/>
  <c r="AF34" i="144"/>
  <c r="AG34" i="144"/>
  <c r="AH34" i="144"/>
  <c r="AG11" i="144"/>
  <c r="AH11" i="144"/>
  <c r="C35" i="29"/>
  <c r="D35" i="29"/>
  <c r="G35" i="29"/>
  <c r="E35" i="29"/>
  <c r="F35" i="29"/>
  <c r="G12" i="29"/>
  <c r="J12" i="29"/>
  <c r="G13" i="29"/>
  <c r="O13" i="29"/>
  <c r="G14" i="29"/>
  <c r="O14" i="29"/>
  <c r="G15" i="29"/>
  <c r="G16" i="29"/>
  <c r="J16" i="29"/>
  <c r="I16" i="29"/>
  <c r="T16" i="29"/>
  <c r="G17" i="29"/>
  <c r="G18" i="29"/>
  <c r="G19" i="29"/>
  <c r="G20" i="29"/>
  <c r="N20" i="29"/>
  <c r="J20" i="29"/>
  <c r="G21" i="29"/>
  <c r="O21" i="29"/>
  <c r="M21" i="29"/>
  <c r="G22" i="29"/>
  <c r="O22" i="29"/>
  <c r="G23" i="29"/>
  <c r="G24" i="29"/>
  <c r="J24" i="29"/>
  <c r="T24" i="29"/>
  <c r="G25" i="29"/>
  <c r="N25" i="29"/>
  <c r="G26" i="29"/>
  <c r="J26" i="29"/>
  <c r="T26" i="29"/>
  <c r="G27" i="29"/>
  <c r="J27" i="29"/>
  <c r="T27" i="29"/>
  <c r="G28" i="29"/>
  <c r="J28" i="29"/>
  <c r="T28" i="29"/>
  <c r="G29" i="29"/>
  <c r="O29" i="29"/>
  <c r="G30" i="29"/>
  <c r="O30" i="29"/>
  <c r="G31" i="29"/>
  <c r="N31" i="29"/>
  <c r="M31" i="29"/>
  <c r="G32" i="29"/>
  <c r="N32" i="29"/>
  <c r="J32" i="29"/>
  <c r="G33" i="29"/>
  <c r="N33" i="29"/>
  <c r="O33" i="29"/>
  <c r="M33" i="29"/>
  <c r="G34" i="29"/>
  <c r="G11" i="29"/>
  <c r="N11" i="29"/>
  <c r="AF12" i="29"/>
  <c r="AF13" i="29"/>
  <c r="AG14" i="29"/>
  <c r="AF16" i="29"/>
  <c r="AG16" i="29"/>
  <c r="AG17" i="29"/>
  <c r="AF18" i="29"/>
  <c r="AG19" i="29"/>
  <c r="AF20" i="29"/>
  <c r="AF21" i="29"/>
  <c r="AF22" i="29"/>
  <c r="AF23" i="29"/>
  <c r="AG24" i="29"/>
  <c r="AF25" i="29"/>
  <c r="AF27" i="29"/>
  <c r="AG27" i="29"/>
  <c r="AF28" i="29"/>
  <c r="AF29" i="29"/>
  <c r="AF30" i="29"/>
  <c r="AG30" i="29"/>
  <c r="AF31" i="29"/>
  <c r="AF32" i="29"/>
  <c r="AH32" i="29"/>
  <c r="AG33" i="29"/>
  <c r="AG11" i="29"/>
  <c r="AH13" i="29"/>
  <c r="AG26" i="29"/>
  <c r="AG29" i="29"/>
  <c r="AF34" i="29"/>
  <c r="AG34" i="29"/>
  <c r="AG12" i="29"/>
  <c r="AI12" i="29"/>
  <c r="AE13" i="29"/>
  <c r="AI13" i="29"/>
  <c r="AE14" i="29"/>
  <c r="AH14" i="29"/>
  <c r="AI14" i="29"/>
  <c r="AH15" i="29"/>
  <c r="AI15" i="29"/>
  <c r="AI16" i="29"/>
  <c r="AI17" i="29"/>
  <c r="AI18" i="29"/>
  <c r="AE19" i="29"/>
  <c r="AI19" i="29"/>
  <c r="AG20" i="29"/>
  <c r="AI20" i="29"/>
  <c r="AE21" i="29"/>
  <c r="AI21" i="29"/>
  <c r="AE22" i="29"/>
  <c r="AI22" i="29"/>
  <c r="AE23" i="29"/>
  <c r="AI23" i="29"/>
  <c r="AE24" i="29"/>
  <c r="AI24" i="29"/>
  <c r="AI25" i="29"/>
  <c r="AE26" i="29"/>
  <c r="AI26" i="29"/>
  <c r="AH27" i="29"/>
  <c r="AI27" i="29"/>
  <c r="AE28" i="29"/>
  <c r="AH28" i="29"/>
  <c r="AI28" i="29"/>
  <c r="AE29" i="29"/>
  <c r="AI29" i="29"/>
  <c r="AE30" i="29"/>
  <c r="AI30" i="29"/>
  <c r="AE31" i="29"/>
  <c r="AI31" i="29"/>
  <c r="AE32" i="29"/>
  <c r="AI32" i="29"/>
  <c r="AI33" i="29"/>
  <c r="AE34" i="29"/>
  <c r="AI34" i="29"/>
  <c r="AI11" i="29"/>
  <c r="AH11" i="29"/>
  <c r="D23" i="28"/>
  <c r="E23" i="28"/>
  <c r="F23" i="28"/>
  <c r="K23" i="28"/>
  <c r="C23" i="28"/>
  <c r="G22" i="28"/>
  <c r="H22" i="28"/>
  <c r="I22" i="28"/>
  <c r="J22" i="28"/>
  <c r="G21" i="28"/>
  <c r="H21" i="28"/>
  <c r="I21" i="28"/>
  <c r="J21" i="28"/>
  <c r="G20" i="28"/>
  <c r="H20" i="28"/>
  <c r="I20" i="28"/>
  <c r="J20" i="28"/>
  <c r="G19" i="28"/>
  <c r="H19" i="28"/>
  <c r="I19" i="28"/>
  <c r="J19" i="28"/>
  <c r="G18" i="28"/>
  <c r="H18" i="28"/>
  <c r="I18" i="28"/>
  <c r="J18" i="28"/>
  <c r="G17" i="28"/>
  <c r="H17" i="28"/>
  <c r="I17" i="28"/>
  <c r="J17" i="28"/>
  <c r="G16" i="28"/>
  <c r="H16" i="28"/>
  <c r="I16" i="28"/>
  <c r="J16" i="28"/>
  <c r="G15" i="28"/>
  <c r="H15" i="28"/>
  <c r="I15" i="28"/>
  <c r="J15" i="28"/>
  <c r="G14" i="28"/>
  <c r="H14" i="28"/>
  <c r="I14" i="28"/>
  <c r="J14" i="28"/>
  <c r="G13" i="28"/>
  <c r="H13" i="28"/>
  <c r="I13" i="28"/>
  <c r="J13" i="28"/>
  <c r="G12" i="28"/>
  <c r="H12" i="28"/>
  <c r="I12" i="28"/>
  <c r="J12" i="28"/>
  <c r="G11" i="28"/>
  <c r="C23" i="27"/>
  <c r="D23" i="27"/>
  <c r="E23" i="27"/>
  <c r="F23" i="27"/>
  <c r="K22" i="27"/>
  <c r="G22" i="27"/>
  <c r="H22" i="27"/>
  <c r="K21" i="27"/>
  <c r="G21" i="27"/>
  <c r="H21" i="27"/>
  <c r="J21" i="27"/>
  <c r="K20" i="27"/>
  <c r="G20" i="27"/>
  <c r="H20" i="27"/>
  <c r="J20" i="27"/>
  <c r="K19" i="27"/>
  <c r="G19" i="27"/>
  <c r="H19" i="27"/>
  <c r="K18" i="27"/>
  <c r="G18" i="27"/>
  <c r="H18" i="27"/>
  <c r="J18" i="27"/>
  <c r="K17" i="27"/>
  <c r="G17" i="27"/>
  <c r="H17" i="27"/>
  <c r="G16" i="27"/>
  <c r="H16" i="27"/>
  <c r="I16" i="27"/>
  <c r="K15" i="27"/>
  <c r="G15" i="27"/>
  <c r="H15" i="27"/>
  <c r="K14" i="27"/>
  <c r="G14" i="27"/>
  <c r="H14" i="27"/>
  <c r="K13" i="27"/>
  <c r="G13" i="27"/>
  <c r="H13" i="27"/>
  <c r="K12" i="27"/>
  <c r="G12" i="27"/>
  <c r="H12" i="27"/>
  <c r="I12" i="27"/>
  <c r="K11" i="27"/>
  <c r="G11" i="27"/>
  <c r="P34" i="147"/>
  <c r="P18" i="147"/>
  <c r="P30" i="147"/>
  <c r="P26" i="147"/>
  <c r="P22" i="147"/>
  <c r="P30" i="145"/>
  <c r="N27" i="158"/>
  <c r="O27" i="158"/>
  <c r="M26" i="158"/>
  <c r="P26" i="145"/>
  <c r="N28" i="156"/>
  <c r="C41" i="159"/>
  <c r="H5" i="159"/>
  <c r="D33" i="159"/>
  <c r="H6" i="159"/>
  <c r="D34" i="159"/>
  <c r="H20" i="159"/>
  <c r="D40" i="159"/>
  <c r="D42" i="159"/>
  <c r="E12" i="147"/>
  <c r="E23" i="147"/>
  <c r="E24" i="147"/>
  <c r="E27" i="147"/>
  <c r="E11" i="146"/>
  <c r="E27" i="146"/>
  <c r="E19" i="146"/>
  <c r="P32" i="146"/>
  <c r="P28" i="146"/>
  <c r="P24" i="146"/>
  <c r="P16" i="146"/>
  <c r="P12" i="146"/>
  <c r="P33" i="146"/>
  <c r="P25" i="146"/>
  <c r="P21" i="146"/>
  <c r="P30" i="146"/>
  <c r="P26" i="146"/>
  <c r="P22" i="146"/>
  <c r="P14" i="146"/>
  <c r="E15" i="147"/>
  <c r="E16" i="147"/>
  <c r="K27" i="147"/>
  <c r="I27" i="147"/>
  <c r="K23" i="147"/>
  <c r="I23" i="147"/>
  <c r="K15" i="147"/>
  <c r="I15" i="147"/>
  <c r="E11" i="147"/>
  <c r="K32" i="147"/>
  <c r="I32" i="147"/>
  <c r="K28" i="147"/>
  <c r="K24" i="147"/>
  <c r="I24" i="147"/>
  <c r="K16" i="147"/>
  <c r="K11" i="147"/>
  <c r="I11" i="147"/>
  <c r="E33" i="147"/>
  <c r="E17" i="147"/>
  <c r="E13" i="147"/>
  <c r="K29" i="147"/>
  <c r="I29" i="147"/>
  <c r="I21" i="147"/>
  <c r="K13" i="147"/>
  <c r="I13" i="147"/>
  <c r="K31" i="147"/>
  <c r="I31" i="147"/>
  <c r="K19" i="147"/>
  <c r="I19" i="147"/>
  <c r="K34" i="147"/>
  <c r="I34" i="147"/>
  <c r="I30" i="147"/>
  <c r="E33" i="145"/>
  <c r="E22" i="145"/>
  <c r="E13" i="145"/>
  <c r="E34" i="145"/>
  <c r="E17" i="145"/>
  <c r="E21" i="145"/>
  <c r="C34" i="159"/>
  <c r="G21" i="159"/>
  <c r="D41" i="159"/>
  <c r="C40" i="159"/>
  <c r="C42" i="159"/>
  <c r="F32" i="159"/>
  <c r="F35" i="159"/>
  <c r="H21" i="159"/>
  <c r="G27" i="159"/>
  <c r="K27" i="159"/>
  <c r="F21" i="159"/>
  <c r="I19" i="159"/>
  <c r="G14" i="159"/>
  <c r="O9" i="157"/>
  <c r="E29" i="145"/>
  <c r="E18" i="145"/>
  <c r="G35" i="144"/>
  <c r="N31" i="144"/>
  <c r="N27" i="144"/>
  <c r="J23" i="144"/>
  <c r="I23" i="144"/>
  <c r="J22" i="144"/>
  <c r="T22" i="144"/>
  <c r="J14" i="144"/>
  <c r="T14" i="144"/>
  <c r="J33" i="157"/>
  <c r="O17" i="157"/>
  <c r="N23" i="158"/>
  <c r="N25" i="158"/>
  <c r="N9" i="158"/>
  <c r="J33" i="158"/>
  <c r="N21" i="158"/>
  <c r="N28" i="158"/>
  <c r="N29" i="158"/>
  <c r="N17" i="158"/>
  <c r="N24" i="158"/>
  <c r="N27" i="29"/>
  <c r="O27" i="29"/>
  <c r="N23" i="29"/>
  <c r="O18" i="157"/>
  <c r="O10" i="157"/>
  <c r="O15" i="157"/>
  <c r="O12" i="157"/>
  <c r="O16" i="157"/>
  <c r="O20" i="157"/>
  <c r="O19" i="157"/>
  <c r="O27" i="157"/>
  <c r="O31" i="157"/>
  <c r="E31" i="145"/>
  <c r="E27" i="145"/>
  <c r="E15" i="145"/>
  <c r="E12" i="145"/>
  <c r="K33" i="145"/>
  <c r="I33" i="145"/>
  <c r="I29" i="145"/>
  <c r="K25" i="145"/>
  <c r="I25" i="145"/>
  <c r="K17" i="145"/>
  <c r="I17" i="145"/>
  <c r="I27" i="144"/>
  <c r="J26" i="144"/>
  <c r="I26" i="144"/>
  <c r="J34" i="144"/>
  <c r="J18" i="144"/>
  <c r="O32" i="144"/>
  <c r="M32" i="144"/>
  <c r="O24" i="144"/>
  <c r="M24" i="144"/>
  <c r="O12" i="144"/>
  <c r="O25" i="144"/>
  <c r="M25" i="144"/>
  <c r="O13" i="144"/>
  <c r="O34" i="144"/>
  <c r="O26" i="144"/>
  <c r="O22" i="144"/>
  <c r="M22" i="144"/>
  <c r="O18" i="144"/>
  <c r="M18" i="144"/>
  <c r="M14" i="144"/>
  <c r="J32" i="144"/>
  <c r="J24" i="144"/>
  <c r="I24" i="144"/>
  <c r="T24" i="144"/>
  <c r="J12" i="144"/>
  <c r="I12" i="144"/>
  <c r="J25" i="144"/>
  <c r="T25" i="144"/>
  <c r="T21" i="144"/>
  <c r="I28" i="29"/>
  <c r="I27" i="29"/>
  <c r="I24" i="29"/>
  <c r="J17" i="29"/>
  <c r="T17" i="29"/>
  <c r="I17" i="29"/>
  <c r="J30" i="29"/>
  <c r="I30" i="29"/>
  <c r="T30" i="29"/>
  <c r="J22" i="29"/>
  <c r="I22" i="29"/>
  <c r="T22" i="29"/>
  <c r="N24" i="29"/>
  <c r="M24" i="29"/>
  <c r="N16" i="29"/>
  <c r="M16" i="29"/>
  <c r="N12" i="29"/>
  <c r="O32" i="29"/>
  <c r="M32" i="29"/>
  <c r="O24" i="29"/>
  <c r="O20" i="29"/>
  <c r="O16" i="29"/>
  <c r="O12" i="29"/>
  <c r="J33" i="29"/>
  <c r="T33" i="29"/>
  <c r="J21" i="29"/>
  <c r="T21" i="29"/>
  <c r="J13" i="29"/>
  <c r="T13" i="29"/>
  <c r="N21" i="29"/>
  <c r="N13" i="29"/>
  <c r="M13" i="29"/>
  <c r="N30" i="29"/>
  <c r="M30" i="29"/>
  <c r="N26" i="29"/>
  <c r="N22" i="29"/>
  <c r="M22" i="29"/>
  <c r="I11" i="146"/>
  <c r="I21" i="27"/>
  <c r="J12" i="27"/>
  <c r="J16" i="27"/>
  <c r="I22" i="144"/>
  <c r="I18" i="144"/>
  <c r="T18" i="144"/>
  <c r="I14" i="144"/>
  <c r="I21" i="159"/>
  <c r="E40" i="159"/>
  <c r="E42" i="159"/>
  <c r="I33" i="29"/>
  <c r="I21" i="29"/>
  <c r="I13" i="29"/>
  <c r="D33" i="124"/>
  <c r="E33" i="124"/>
  <c r="G33" i="124"/>
  <c r="H33" i="124"/>
  <c r="C36" i="93"/>
  <c r="D36" i="93"/>
  <c r="E36" i="93"/>
  <c r="F36" i="93"/>
  <c r="F39" i="93"/>
  <c r="G36" i="93"/>
  <c r="H36" i="93"/>
  <c r="H39" i="93"/>
  <c r="I36" i="93"/>
  <c r="J36" i="93"/>
  <c r="J39" i="93"/>
  <c r="K36" i="93"/>
  <c r="L36" i="93"/>
  <c r="G35" i="84"/>
  <c r="E17" i="84"/>
  <c r="J17" i="84"/>
  <c r="E16" i="84"/>
  <c r="J16" i="84"/>
  <c r="H15" i="105"/>
  <c r="J15" i="105"/>
  <c r="K15" i="105"/>
  <c r="H14" i="105"/>
  <c r="J14" i="105"/>
  <c r="J14" i="108"/>
  <c r="H14" i="108"/>
  <c r="H33" i="108"/>
  <c r="I14" i="108"/>
  <c r="J15" i="108"/>
  <c r="K15" i="108"/>
  <c r="H15" i="108"/>
  <c r="I15" i="108"/>
  <c r="E60" i="14"/>
  <c r="X38" i="88"/>
  <c r="P15" i="88"/>
  <c r="S15" i="88"/>
  <c r="P16" i="88"/>
  <c r="P17" i="88"/>
  <c r="S17" i="88"/>
  <c r="P18" i="88"/>
  <c r="P19" i="88"/>
  <c r="S19" i="88"/>
  <c r="P20" i="88"/>
  <c r="P21" i="88"/>
  <c r="P22" i="88"/>
  <c r="P23" i="88"/>
  <c r="P24" i="88"/>
  <c r="P25" i="88"/>
  <c r="P26" i="88"/>
  <c r="P27" i="88"/>
  <c r="P28" i="88"/>
  <c r="P29" i="88"/>
  <c r="P30" i="88"/>
  <c r="P31" i="88"/>
  <c r="P32" i="88"/>
  <c r="P33" i="88"/>
  <c r="P34" i="88"/>
  <c r="P35" i="88"/>
  <c r="P36" i="88"/>
  <c r="P37" i="88"/>
  <c r="P14" i="88"/>
  <c r="D33" i="155"/>
  <c r="E33" i="155"/>
  <c r="C11" i="155"/>
  <c r="C12" i="155"/>
  <c r="C13" i="155"/>
  <c r="C14" i="155"/>
  <c r="C15" i="155"/>
  <c r="C16" i="155"/>
  <c r="C17" i="155"/>
  <c r="C18" i="155"/>
  <c r="C19" i="155"/>
  <c r="C20" i="155"/>
  <c r="C21" i="155"/>
  <c r="C22" i="155"/>
  <c r="C23" i="155"/>
  <c r="C24" i="155"/>
  <c r="C25" i="155"/>
  <c r="C26" i="155"/>
  <c r="C27" i="155"/>
  <c r="C28" i="155"/>
  <c r="C29" i="155"/>
  <c r="C30" i="155"/>
  <c r="C31" i="155"/>
  <c r="C32" i="155"/>
  <c r="G33" i="142"/>
  <c r="D33" i="142"/>
  <c r="E33" i="142"/>
  <c r="F33" i="142"/>
  <c r="I13" i="121"/>
  <c r="K13" i="121"/>
  <c r="I14" i="121"/>
  <c r="K14" i="121"/>
  <c r="I15" i="121"/>
  <c r="K15" i="121"/>
  <c r="I16" i="121"/>
  <c r="K16" i="121"/>
  <c r="I17" i="121"/>
  <c r="K17" i="121"/>
  <c r="I18" i="121"/>
  <c r="I19" i="121"/>
  <c r="K19" i="121"/>
  <c r="I20" i="121"/>
  <c r="K20" i="121"/>
  <c r="I21" i="121"/>
  <c r="K21" i="121"/>
  <c r="I22" i="121"/>
  <c r="K22" i="121"/>
  <c r="I23" i="121"/>
  <c r="K23" i="121"/>
  <c r="I24" i="121"/>
  <c r="K24" i="121"/>
  <c r="I25" i="121"/>
  <c r="K25" i="121"/>
  <c r="I26" i="121"/>
  <c r="I27" i="121"/>
  <c r="K27" i="121"/>
  <c r="I28" i="121"/>
  <c r="K28" i="121"/>
  <c r="I29" i="121"/>
  <c r="K29" i="121"/>
  <c r="I30" i="121"/>
  <c r="K30" i="121"/>
  <c r="I31" i="121"/>
  <c r="K31" i="121"/>
  <c r="I32" i="121"/>
  <c r="K32" i="121"/>
  <c r="I33" i="121"/>
  <c r="K33" i="121"/>
  <c r="I34" i="121"/>
  <c r="I35" i="121"/>
  <c r="K35" i="121"/>
  <c r="I12" i="121"/>
  <c r="D36" i="121"/>
  <c r="C37" i="138"/>
  <c r="D37" i="138"/>
  <c r="F15" i="88"/>
  <c r="F16" i="88"/>
  <c r="G16" i="88"/>
  <c r="F17" i="88"/>
  <c r="F18" i="88"/>
  <c r="F19" i="88"/>
  <c r="G19" i="88"/>
  <c r="F20" i="88"/>
  <c r="F21" i="88"/>
  <c r="F22" i="88"/>
  <c r="F23" i="88"/>
  <c r="G23" i="88"/>
  <c r="F24" i="88"/>
  <c r="F25" i="88"/>
  <c r="F26" i="88"/>
  <c r="F27" i="88"/>
  <c r="G27" i="88"/>
  <c r="F28" i="88"/>
  <c r="F29" i="88"/>
  <c r="G29" i="88"/>
  <c r="F30" i="88"/>
  <c r="G30" i="88"/>
  <c r="F31" i="88"/>
  <c r="F32" i="88"/>
  <c r="F33" i="88"/>
  <c r="G33" i="88"/>
  <c r="F34" i="88"/>
  <c r="F35" i="88"/>
  <c r="G35" i="88"/>
  <c r="F36" i="88"/>
  <c r="F37" i="88"/>
  <c r="F14" i="88"/>
  <c r="E15" i="88"/>
  <c r="E38" i="88"/>
  <c r="E16" i="88"/>
  <c r="E17" i="88"/>
  <c r="G17" i="88"/>
  <c r="E18" i="88"/>
  <c r="G18" i="88"/>
  <c r="E19" i="88"/>
  <c r="E20" i="88"/>
  <c r="E21" i="88"/>
  <c r="G21" i="88"/>
  <c r="E22" i="88"/>
  <c r="G22" i="88"/>
  <c r="E23" i="88"/>
  <c r="E24" i="88"/>
  <c r="E25" i="88"/>
  <c r="G25" i="88"/>
  <c r="E26" i="88"/>
  <c r="E27" i="88"/>
  <c r="E28" i="88"/>
  <c r="G28" i="88"/>
  <c r="E29" i="88"/>
  <c r="E30" i="88"/>
  <c r="E31" i="88"/>
  <c r="E32" i="88"/>
  <c r="E33" i="88"/>
  <c r="E34" i="88"/>
  <c r="G34" i="88"/>
  <c r="E35" i="88"/>
  <c r="E36" i="88"/>
  <c r="G36" i="88"/>
  <c r="E37" i="88"/>
  <c r="G37" i="88"/>
  <c r="E14" i="88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5" i="86"/>
  <c r="K36" i="86"/>
  <c r="K13" i="86"/>
  <c r="K37" i="86"/>
  <c r="J15" i="86"/>
  <c r="J17" i="86"/>
  <c r="J19" i="86"/>
  <c r="J20" i="86"/>
  <c r="J21" i="86"/>
  <c r="J23" i="86"/>
  <c r="J25" i="86"/>
  <c r="J27" i="86"/>
  <c r="J28" i="86"/>
  <c r="J29" i="86"/>
  <c r="J31" i="86"/>
  <c r="J33" i="86"/>
  <c r="J35" i="86"/>
  <c r="J36" i="86"/>
  <c r="J13" i="86"/>
  <c r="D37" i="86"/>
  <c r="E37" i="86"/>
  <c r="G37" i="86"/>
  <c r="I37" i="86"/>
  <c r="L37" i="86"/>
  <c r="H13" i="4"/>
  <c r="J13" i="4"/>
  <c r="O13" i="4"/>
  <c r="H14" i="4"/>
  <c r="J14" i="4"/>
  <c r="H15" i="4"/>
  <c r="H16" i="4"/>
  <c r="J16" i="4"/>
  <c r="O16" i="4"/>
  <c r="H17" i="4"/>
  <c r="J17" i="4"/>
  <c r="H18" i="4"/>
  <c r="H19" i="4"/>
  <c r="J19" i="4"/>
  <c r="H20" i="4"/>
  <c r="H21" i="4"/>
  <c r="J21" i="4"/>
  <c r="O21" i="4"/>
  <c r="H22" i="4"/>
  <c r="H23" i="4"/>
  <c r="J23" i="4"/>
  <c r="O23" i="4"/>
  <c r="H24" i="4"/>
  <c r="J24" i="4"/>
  <c r="O24" i="4"/>
  <c r="H25" i="4"/>
  <c r="J25" i="4"/>
  <c r="O25" i="4"/>
  <c r="H26" i="4"/>
  <c r="J26" i="4"/>
  <c r="O26" i="4"/>
  <c r="H27" i="4"/>
  <c r="H28" i="4"/>
  <c r="H29" i="4"/>
  <c r="J29" i="4"/>
  <c r="O29" i="4"/>
  <c r="H30" i="4"/>
  <c r="H31" i="4"/>
  <c r="J31" i="4"/>
  <c r="O31" i="4"/>
  <c r="H32" i="4"/>
  <c r="J32" i="4"/>
  <c r="H33" i="4"/>
  <c r="H34" i="4"/>
  <c r="H35" i="4"/>
  <c r="J35" i="4"/>
  <c r="O35" i="4"/>
  <c r="D33" i="141"/>
  <c r="F33" i="141"/>
  <c r="G33" i="141"/>
  <c r="T35" i="47"/>
  <c r="U35" i="47"/>
  <c r="D25" i="96"/>
  <c r="E25" i="96"/>
  <c r="C25" i="96"/>
  <c r="D21" i="96"/>
  <c r="E21" i="96"/>
  <c r="E26" i="96"/>
  <c r="C21" i="96"/>
  <c r="F23" i="96"/>
  <c r="F25" i="96"/>
  <c r="F16" i="96"/>
  <c r="F20" i="96"/>
  <c r="F21" i="96"/>
  <c r="L20" i="99"/>
  <c r="K20" i="99"/>
  <c r="H20" i="99"/>
  <c r="G20" i="99"/>
  <c r="G32" i="58"/>
  <c r="D36" i="13"/>
  <c r="F36" i="13"/>
  <c r="C36" i="13"/>
  <c r="H13" i="111"/>
  <c r="J13" i="111"/>
  <c r="H14" i="111"/>
  <c r="J14" i="111"/>
  <c r="H15" i="111"/>
  <c r="J15" i="111"/>
  <c r="H16" i="111"/>
  <c r="H17" i="111"/>
  <c r="J17" i="111"/>
  <c r="H18" i="111"/>
  <c r="J18" i="111"/>
  <c r="H19" i="111"/>
  <c r="H20" i="111"/>
  <c r="J20" i="111"/>
  <c r="H21" i="111"/>
  <c r="J21" i="111"/>
  <c r="H22" i="111"/>
  <c r="H23" i="111"/>
  <c r="J23" i="111"/>
  <c r="H24" i="111"/>
  <c r="J24" i="111"/>
  <c r="H25" i="111"/>
  <c r="J25" i="111"/>
  <c r="H26" i="111"/>
  <c r="J26" i="111"/>
  <c r="H27" i="111"/>
  <c r="H28" i="111"/>
  <c r="J28" i="111"/>
  <c r="H29" i="111"/>
  <c r="J29" i="111"/>
  <c r="H30" i="111"/>
  <c r="J30" i="111"/>
  <c r="H31" i="111"/>
  <c r="H32" i="111"/>
  <c r="J32" i="111"/>
  <c r="H33" i="111"/>
  <c r="J33" i="111"/>
  <c r="H34" i="111"/>
  <c r="J34" i="111"/>
  <c r="H35" i="111"/>
  <c r="J35" i="111"/>
  <c r="H12" i="111"/>
  <c r="J12" i="111"/>
  <c r="K38" i="88"/>
  <c r="L38" i="88"/>
  <c r="N38" i="88"/>
  <c r="O38" i="88"/>
  <c r="R14" i="88"/>
  <c r="Q14" i="88"/>
  <c r="H38" i="88"/>
  <c r="J38" i="88"/>
  <c r="I38" i="88"/>
  <c r="J15" i="88"/>
  <c r="J16" i="88"/>
  <c r="S16" i="88"/>
  <c r="J17" i="88"/>
  <c r="J18" i="88"/>
  <c r="S18" i="88"/>
  <c r="J19" i="88"/>
  <c r="J20" i="88"/>
  <c r="S20" i="88"/>
  <c r="J21" i="88"/>
  <c r="S21" i="88"/>
  <c r="J22" i="88"/>
  <c r="S22" i="88"/>
  <c r="J23" i="88"/>
  <c r="J24" i="88"/>
  <c r="S24" i="88"/>
  <c r="J25" i="88"/>
  <c r="S25" i="88"/>
  <c r="J26" i="88"/>
  <c r="S26" i="88"/>
  <c r="J27" i="88"/>
  <c r="J28" i="88"/>
  <c r="S28" i="88"/>
  <c r="J29" i="88"/>
  <c r="S29" i="88"/>
  <c r="J30" i="88"/>
  <c r="S30" i="88"/>
  <c r="J31" i="88"/>
  <c r="S31" i="88"/>
  <c r="J32" i="88"/>
  <c r="J33" i="88"/>
  <c r="S33" i="88"/>
  <c r="J34" i="88"/>
  <c r="S34" i="88"/>
  <c r="J35" i="88"/>
  <c r="S35" i="88"/>
  <c r="J36" i="88"/>
  <c r="J37" i="88"/>
  <c r="S37" i="88"/>
  <c r="J14" i="88"/>
  <c r="G15" i="88"/>
  <c r="G24" i="88"/>
  <c r="G26" i="88"/>
  <c r="G32" i="88"/>
  <c r="G14" i="88"/>
  <c r="C38" i="88"/>
  <c r="D38" i="88"/>
  <c r="H13" i="127"/>
  <c r="H14" i="127"/>
  <c r="H15" i="127"/>
  <c r="H16" i="127"/>
  <c r="H17" i="127"/>
  <c r="H18" i="127"/>
  <c r="H19" i="127"/>
  <c r="J19" i="127"/>
  <c r="H20" i="127"/>
  <c r="H21" i="127"/>
  <c r="H22" i="127"/>
  <c r="J22" i="127"/>
  <c r="H23" i="127"/>
  <c r="J23" i="127"/>
  <c r="H24" i="127"/>
  <c r="H25" i="127"/>
  <c r="H26" i="127"/>
  <c r="H27" i="127"/>
  <c r="H28" i="127"/>
  <c r="H29" i="127"/>
  <c r="H30" i="127"/>
  <c r="J30" i="127"/>
  <c r="H31" i="127"/>
  <c r="H32" i="127"/>
  <c r="J32" i="127"/>
  <c r="H33" i="127"/>
  <c r="J33" i="127"/>
  <c r="H34" i="127"/>
  <c r="H35" i="127"/>
  <c r="H12" i="127"/>
  <c r="H12" i="47"/>
  <c r="I12" i="47"/>
  <c r="K12" i="47"/>
  <c r="H13" i="47"/>
  <c r="I13" i="47"/>
  <c r="K13" i="47"/>
  <c r="H14" i="47"/>
  <c r="I14" i="47"/>
  <c r="K14" i="47"/>
  <c r="H15" i="47"/>
  <c r="I15" i="47"/>
  <c r="K15" i="47"/>
  <c r="L15" i="47"/>
  <c r="H16" i="47"/>
  <c r="I16" i="47"/>
  <c r="K16" i="47"/>
  <c r="H17" i="47"/>
  <c r="I17" i="47"/>
  <c r="K17" i="47"/>
  <c r="H18" i="47"/>
  <c r="I18" i="47"/>
  <c r="L18" i="47"/>
  <c r="K18" i="47"/>
  <c r="H19" i="47"/>
  <c r="I19" i="47"/>
  <c r="K19" i="47"/>
  <c r="H20" i="47"/>
  <c r="I20" i="47"/>
  <c r="K20" i="47"/>
  <c r="H21" i="47"/>
  <c r="I21" i="47"/>
  <c r="K21" i="47"/>
  <c r="H22" i="47"/>
  <c r="I22" i="47"/>
  <c r="L22" i="47"/>
  <c r="K22" i="47"/>
  <c r="H23" i="47"/>
  <c r="I23" i="47"/>
  <c r="K23" i="47"/>
  <c r="K35" i="47"/>
  <c r="H24" i="47"/>
  <c r="I24" i="47"/>
  <c r="K24" i="47"/>
  <c r="H25" i="47"/>
  <c r="H35" i="47"/>
  <c r="L35" i="47"/>
  <c r="I25" i="47"/>
  <c r="K25" i="47"/>
  <c r="H26" i="47"/>
  <c r="I26" i="47"/>
  <c r="L26" i="47"/>
  <c r="K26" i="47"/>
  <c r="H27" i="47"/>
  <c r="I27" i="47"/>
  <c r="K27" i="47"/>
  <c r="H28" i="47"/>
  <c r="I28" i="47"/>
  <c r="K28" i="47"/>
  <c r="H29" i="47"/>
  <c r="L29" i="47"/>
  <c r="I29" i="47"/>
  <c r="K29" i="47"/>
  <c r="H30" i="47"/>
  <c r="I30" i="47"/>
  <c r="L30" i="47"/>
  <c r="K30" i="47"/>
  <c r="H31" i="47"/>
  <c r="I31" i="47"/>
  <c r="L31" i="47"/>
  <c r="K31" i="47"/>
  <c r="H32" i="47"/>
  <c r="I32" i="47"/>
  <c r="K32" i="47"/>
  <c r="H33" i="47"/>
  <c r="I33" i="47"/>
  <c r="K33" i="47"/>
  <c r="H34" i="47"/>
  <c r="L34" i="47"/>
  <c r="I34" i="47"/>
  <c r="K34" i="47"/>
  <c r="K11" i="47"/>
  <c r="I11" i="47"/>
  <c r="I35" i="47"/>
  <c r="H11" i="47"/>
  <c r="H12" i="60"/>
  <c r="I12" i="60"/>
  <c r="K12" i="60"/>
  <c r="H13" i="60"/>
  <c r="I13" i="60"/>
  <c r="K13" i="60"/>
  <c r="H14" i="60"/>
  <c r="I14" i="60"/>
  <c r="K14" i="60"/>
  <c r="L14" i="60"/>
  <c r="H15" i="60"/>
  <c r="I15" i="60"/>
  <c r="K15" i="60"/>
  <c r="H16" i="60"/>
  <c r="I16" i="60"/>
  <c r="K16" i="60"/>
  <c r="H17" i="60"/>
  <c r="I17" i="60"/>
  <c r="K17" i="60"/>
  <c r="H18" i="60"/>
  <c r="I18" i="60"/>
  <c r="K18" i="60"/>
  <c r="H19" i="60"/>
  <c r="I19" i="60"/>
  <c r="K19" i="60"/>
  <c r="L19" i="60"/>
  <c r="H20" i="60"/>
  <c r="I20" i="60"/>
  <c r="K20" i="60"/>
  <c r="H21" i="60"/>
  <c r="I21" i="60"/>
  <c r="L21" i="60"/>
  <c r="K21" i="60"/>
  <c r="H22" i="60"/>
  <c r="L22" i="60"/>
  <c r="I22" i="60"/>
  <c r="K22" i="60"/>
  <c r="H23" i="60"/>
  <c r="I23" i="60"/>
  <c r="K23" i="60"/>
  <c r="H24" i="60"/>
  <c r="I24" i="60"/>
  <c r="K24" i="60"/>
  <c r="H25" i="60"/>
  <c r="I25" i="60"/>
  <c r="L25" i="60"/>
  <c r="K25" i="60"/>
  <c r="H26" i="60"/>
  <c r="I26" i="60"/>
  <c r="K26" i="60"/>
  <c r="H27" i="60"/>
  <c r="I27" i="60"/>
  <c r="K27" i="60"/>
  <c r="H28" i="60"/>
  <c r="I28" i="60"/>
  <c r="L28" i="60"/>
  <c r="K28" i="60"/>
  <c r="H29" i="60"/>
  <c r="I29" i="60"/>
  <c r="K29" i="60"/>
  <c r="H30" i="60"/>
  <c r="I30" i="60"/>
  <c r="K30" i="60"/>
  <c r="H31" i="60"/>
  <c r="I31" i="60"/>
  <c r="K31" i="60"/>
  <c r="H32" i="60"/>
  <c r="I32" i="60"/>
  <c r="K32" i="60"/>
  <c r="L32" i="60"/>
  <c r="H33" i="60"/>
  <c r="I33" i="60"/>
  <c r="K33" i="60"/>
  <c r="H34" i="60"/>
  <c r="I34" i="60"/>
  <c r="L34" i="60"/>
  <c r="K34" i="60"/>
  <c r="K11" i="60"/>
  <c r="I11" i="60"/>
  <c r="H11" i="60"/>
  <c r="M35" i="47"/>
  <c r="N35" i="47"/>
  <c r="P35" i="47"/>
  <c r="Q12" i="47"/>
  <c r="F13" i="163"/>
  <c r="G13" i="163"/>
  <c r="Q13" i="47"/>
  <c r="F14" i="163"/>
  <c r="G14" i="163"/>
  <c r="Q14" i="47"/>
  <c r="F15" i="163"/>
  <c r="G15" i="163"/>
  <c r="Q15" i="47"/>
  <c r="F16" i="163"/>
  <c r="G16" i="163"/>
  <c r="Q16" i="47"/>
  <c r="F17" i="163"/>
  <c r="G17" i="163"/>
  <c r="Q17" i="47"/>
  <c r="F18" i="163"/>
  <c r="G18" i="163"/>
  <c r="Q18" i="47"/>
  <c r="F19" i="163"/>
  <c r="G19" i="163"/>
  <c r="Q19" i="47"/>
  <c r="F20" i="163"/>
  <c r="G20" i="163"/>
  <c r="Q20" i="47"/>
  <c r="F21" i="163"/>
  <c r="G21" i="163"/>
  <c r="Q21" i="47"/>
  <c r="F22" i="163"/>
  <c r="G22" i="163"/>
  <c r="Q22" i="47"/>
  <c r="F23" i="163"/>
  <c r="G23" i="163"/>
  <c r="Q23" i="47"/>
  <c r="F24" i="163"/>
  <c r="G24" i="163"/>
  <c r="Q24" i="47"/>
  <c r="F25" i="163"/>
  <c r="G25" i="163"/>
  <c r="Q25" i="47"/>
  <c r="F26" i="163"/>
  <c r="G26" i="163"/>
  <c r="Q26" i="47"/>
  <c r="F27" i="163"/>
  <c r="G27" i="163"/>
  <c r="Q27" i="47"/>
  <c r="F28" i="163"/>
  <c r="G28" i="163"/>
  <c r="Q28" i="47"/>
  <c r="F29" i="163"/>
  <c r="Q29" i="47"/>
  <c r="F30" i="163"/>
  <c r="G30" i="163"/>
  <c r="Q30" i="47"/>
  <c r="F31" i="163"/>
  <c r="G31" i="163"/>
  <c r="Q31" i="47"/>
  <c r="F32" i="163"/>
  <c r="G32" i="163"/>
  <c r="Q32" i="47"/>
  <c r="F33" i="163"/>
  <c r="G33" i="163"/>
  <c r="Q33" i="47"/>
  <c r="F34" i="163"/>
  <c r="G34" i="163"/>
  <c r="Q34" i="47"/>
  <c r="F35" i="163"/>
  <c r="G35" i="163"/>
  <c r="Q11" i="47"/>
  <c r="F12" i="163"/>
  <c r="M35" i="60"/>
  <c r="N35" i="60"/>
  <c r="Q35" i="60"/>
  <c r="P36" i="162"/>
  <c r="R36" i="162"/>
  <c r="P35" i="60"/>
  <c r="Q12" i="60"/>
  <c r="F13" i="162"/>
  <c r="G13" i="162"/>
  <c r="Q13" i="60"/>
  <c r="F14" i="162"/>
  <c r="Q14" i="60"/>
  <c r="F15" i="162"/>
  <c r="Q15" i="60"/>
  <c r="Q16" i="60"/>
  <c r="P17" i="162"/>
  <c r="R17" i="162"/>
  <c r="Q17" i="60"/>
  <c r="F18" i="162"/>
  <c r="Q18" i="60"/>
  <c r="P19" i="162"/>
  <c r="R19" i="162"/>
  <c r="Q19" i="60"/>
  <c r="P20" i="162"/>
  <c r="Q20" i="60"/>
  <c r="F21" i="162"/>
  <c r="G21" i="162"/>
  <c r="Q21" i="60"/>
  <c r="F22" i="162"/>
  <c r="G22" i="162"/>
  <c r="Q22" i="60"/>
  <c r="Q23" i="60"/>
  <c r="F24" i="162"/>
  <c r="G24" i="162"/>
  <c r="Q24" i="60"/>
  <c r="F25" i="162"/>
  <c r="Q25" i="60"/>
  <c r="F26" i="162"/>
  <c r="G26" i="162"/>
  <c r="Q26" i="60"/>
  <c r="Q27" i="60"/>
  <c r="Q28" i="60"/>
  <c r="F29" i="162"/>
  <c r="G29" i="162"/>
  <c r="Q29" i="60"/>
  <c r="F30" i="162"/>
  <c r="G30" i="162"/>
  <c r="Q30" i="60"/>
  <c r="P31" i="162"/>
  <c r="R31" i="162"/>
  <c r="Q31" i="60"/>
  <c r="Q32" i="60"/>
  <c r="F33" i="162"/>
  <c r="G33" i="162"/>
  <c r="Q33" i="60"/>
  <c r="F34" i="162"/>
  <c r="Q34" i="60"/>
  <c r="Q11" i="60"/>
  <c r="E34" i="103"/>
  <c r="F34" i="103"/>
  <c r="G34" i="103"/>
  <c r="F13" i="117"/>
  <c r="F14" i="117"/>
  <c r="F15" i="117"/>
  <c r="F16" i="117"/>
  <c r="F17" i="117"/>
  <c r="F18" i="117"/>
  <c r="F19" i="117"/>
  <c r="F20" i="117"/>
  <c r="F21" i="117"/>
  <c r="F22" i="117"/>
  <c r="F23" i="117"/>
  <c r="F24" i="117"/>
  <c r="F25" i="117"/>
  <c r="F26" i="117"/>
  <c r="F27" i="117"/>
  <c r="F28" i="117"/>
  <c r="F29" i="117"/>
  <c r="F30" i="117"/>
  <c r="F31" i="117"/>
  <c r="F32" i="117"/>
  <c r="F33" i="117"/>
  <c r="F34" i="117"/>
  <c r="F35" i="117"/>
  <c r="F12" i="117"/>
  <c r="C36" i="117"/>
  <c r="E36" i="117"/>
  <c r="G36" i="117"/>
  <c r="H36" i="117"/>
  <c r="K36" i="117"/>
  <c r="I35" i="117"/>
  <c r="J35" i="117"/>
  <c r="D35" i="117"/>
  <c r="I34" i="117"/>
  <c r="J34" i="117"/>
  <c r="D34" i="117"/>
  <c r="I33" i="117"/>
  <c r="J33" i="117"/>
  <c r="D33" i="117"/>
  <c r="I32" i="117"/>
  <c r="J32" i="117"/>
  <c r="D32" i="117"/>
  <c r="I31" i="117"/>
  <c r="J31" i="117"/>
  <c r="D31" i="117"/>
  <c r="I30" i="117"/>
  <c r="J30" i="117"/>
  <c r="D30" i="117"/>
  <c r="I29" i="117"/>
  <c r="D29" i="117"/>
  <c r="I28" i="117"/>
  <c r="J28" i="117"/>
  <c r="D28" i="117"/>
  <c r="I27" i="117"/>
  <c r="J27" i="117"/>
  <c r="D27" i="117"/>
  <c r="I26" i="117"/>
  <c r="J26" i="117"/>
  <c r="D26" i="117"/>
  <c r="I25" i="117"/>
  <c r="J25" i="117"/>
  <c r="D25" i="117"/>
  <c r="I24" i="117"/>
  <c r="J24" i="117"/>
  <c r="D24" i="117"/>
  <c r="I23" i="117"/>
  <c r="J23" i="117"/>
  <c r="D23" i="117"/>
  <c r="I22" i="117"/>
  <c r="J22" i="117"/>
  <c r="D22" i="117"/>
  <c r="I21" i="117"/>
  <c r="J21" i="117"/>
  <c r="D21" i="117"/>
  <c r="I20" i="117"/>
  <c r="J20" i="117"/>
  <c r="D20" i="117"/>
  <c r="I19" i="117"/>
  <c r="J19" i="117"/>
  <c r="D19" i="117"/>
  <c r="I18" i="117"/>
  <c r="J18" i="117"/>
  <c r="D18" i="117"/>
  <c r="I17" i="117"/>
  <c r="J17" i="117"/>
  <c r="J36" i="117"/>
  <c r="D17" i="117"/>
  <c r="I16" i="117"/>
  <c r="J16" i="117"/>
  <c r="D16" i="117"/>
  <c r="I15" i="117"/>
  <c r="J15" i="117"/>
  <c r="D15" i="117"/>
  <c r="I14" i="117"/>
  <c r="J14" i="117"/>
  <c r="D14" i="117"/>
  <c r="I13" i="117"/>
  <c r="D13" i="117"/>
  <c r="I12" i="117"/>
  <c r="J12" i="117"/>
  <c r="D12" i="117"/>
  <c r="D36" i="117"/>
  <c r="C36" i="26"/>
  <c r="E36" i="26"/>
  <c r="G36" i="26"/>
  <c r="H36" i="26"/>
  <c r="I36" i="26"/>
  <c r="J36" i="26"/>
  <c r="K36" i="26"/>
  <c r="F35" i="26"/>
  <c r="D35" i="26"/>
  <c r="F34" i="26"/>
  <c r="D34" i="26"/>
  <c r="F33" i="26"/>
  <c r="D33" i="26"/>
  <c r="F32" i="26"/>
  <c r="D32" i="26"/>
  <c r="F31" i="26"/>
  <c r="D31" i="26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E25" i="115"/>
  <c r="F25" i="115"/>
  <c r="G25" i="115"/>
  <c r="H25" i="115"/>
  <c r="C36" i="16"/>
  <c r="D36" i="16"/>
  <c r="E36" i="16"/>
  <c r="F36" i="16"/>
  <c r="G36" i="16"/>
  <c r="H36" i="16"/>
  <c r="I36" i="16"/>
  <c r="J36" i="16"/>
  <c r="J29" i="117"/>
  <c r="D20" i="99"/>
  <c r="C20" i="99"/>
  <c r="J22" i="4"/>
  <c r="O22" i="4"/>
  <c r="J28" i="4"/>
  <c r="O28" i="4"/>
  <c r="H12" i="4"/>
  <c r="J12" i="4"/>
  <c r="O12" i="4"/>
  <c r="G13" i="127"/>
  <c r="G14" i="127"/>
  <c r="G15" i="127"/>
  <c r="G16" i="127"/>
  <c r="G17" i="127"/>
  <c r="G18" i="127"/>
  <c r="G19" i="127"/>
  <c r="G20" i="127"/>
  <c r="G21" i="127"/>
  <c r="G22" i="127"/>
  <c r="G23" i="127"/>
  <c r="G24" i="127"/>
  <c r="G25" i="127"/>
  <c r="G26" i="127"/>
  <c r="G27" i="127"/>
  <c r="G28" i="127"/>
  <c r="G29" i="127"/>
  <c r="G30" i="127"/>
  <c r="G31" i="127"/>
  <c r="G32" i="127"/>
  <c r="G33" i="127"/>
  <c r="G34" i="127"/>
  <c r="G35" i="127"/>
  <c r="G12" i="127"/>
  <c r="J19" i="111"/>
  <c r="J22" i="111"/>
  <c r="J27" i="111"/>
  <c r="J31" i="111"/>
  <c r="J15" i="4"/>
  <c r="O15" i="4"/>
  <c r="J20" i="4"/>
  <c r="O20" i="4"/>
  <c r="J27" i="4"/>
  <c r="O27" i="4"/>
  <c r="J30" i="4"/>
  <c r="O30" i="4"/>
  <c r="J33" i="4"/>
  <c r="O33" i="4"/>
  <c r="J34" i="4"/>
  <c r="O34" i="4"/>
  <c r="D36" i="127"/>
  <c r="F13" i="127"/>
  <c r="F14" i="127"/>
  <c r="F15" i="127"/>
  <c r="F16" i="127"/>
  <c r="F17" i="127"/>
  <c r="F18" i="127"/>
  <c r="F19" i="127"/>
  <c r="F20" i="127"/>
  <c r="F21" i="127"/>
  <c r="F22" i="127"/>
  <c r="F23" i="127"/>
  <c r="F24" i="127"/>
  <c r="F25" i="127"/>
  <c r="F26" i="127"/>
  <c r="F27" i="127"/>
  <c r="F28" i="127"/>
  <c r="F29" i="127"/>
  <c r="F30" i="127"/>
  <c r="F31" i="127"/>
  <c r="F32" i="127"/>
  <c r="F33" i="127"/>
  <c r="F34" i="127"/>
  <c r="F35" i="127"/>
  <c r="F12" i="127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0" i="111"/>
  <c r="F31" i="111"/>
  <c r="F32" i="111"/>
  <c r="F33" i="111"/>
  <c r="F34" i="111"/>
  <c r="F35" i="111"/>
  <c r="F12" i="111"/>
  <c r="D36" i="11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12" i="4"/>
  <c r="D36" i="4"/>
  <c r="C36" i="111"/>
  <c r="C36" i="127"/>
  <c r="C36" i="4"/>
  <c r="C35" i="47"/>
  <c r="D35" i="47"/>
  <c r="G35" i="47"/>
  <c r="E35" i="47"/>
  <c r="F35" i="47"/>
  <c r="G12" i="47"/>
  <c r="G13" i="47"/>
  <c r="G14" i="47"/>
  <c r="G15" i="47"/>
  <c r="G16" i="47"/>
  <c r="G17" i="47"/>
  <c r="C17" i="65"/>
  <c r="G18" i="47"/>
  <c r="G19" i="47"/>
  <c r="G20" i="47"/>
  <c r="G21" i="47"/>
  <c r="G22" i="47"/>
  <c r="C22" i="65"/>
  <c r="G23" i="47"/>
  <c r="G24" i="47"/>
  <c r="G25" i="47"/>
  <c r="G26" i="47"/>
  <c r="G27" i="47"/>
  <c r="G28" i="47"/>
  <c r="G29" i="47"/>
  <c r="G30" i="47"/>
  <c r="C30" i="65"/>
  <c r="G31" i="47"/>
  <c r="G32" i="47"/>
  <c r="G33" i="47"/>
  <c r="G34" i="47"/>
  <c r="C34" i="65"/>
  <c r="G11" i="47"/>
  <c r="C35" i="60"/>
  <c r="E35" i="60"/>
  <c r="F35" i="60"/>
  <c r="G12" i="60"/>
  <c r="G13" i="60"/>
  <c r="G14" i="60"/>
  <c r="G15" i="60"/>
  <c r="G16" i="60"/>
  <c r="C14" i="141"/>
  <c r="V16" i="60"/>
  <c r="G17" i="60"/>
  <c r="G18" i="60"/>
  <c r="C16" i="141"/>
  <c r="G19" i="60"/>
  <c r="C17" i="141"/>
  <c r="G20" i="60"/>
  <c r="C20" i="65"/>
  <c r="G21" i="60"/>
  <c r="G22" i="60"/>
  <c r="C20" i="141"/>
  <c r="G23" i="60"/>
  <c r="G24" i="60"/>
  <c r="G25" i="60"/>
  <c r="C23" i="141"/>
  <c r="C25" i="65"/>
  <c r="G26" i="60"/>
  <c r="V26" i="60"/>
  <c r="G27" i="60"/>
  <c r="C25" i="141"/>
  <c r="G29" i="60"/>
  <c r="G30" i="60"/>
  <c r="G31" i="60"/>
  <c r="C29" i="141"/>
  <c r="G32" i="60"/>
  <c r="V32" i="60"/>
  <c r="G33" i="60"/>
  <c r="C31" i="141"/>
  <c r="C33" i="65"/>
  <c r="G34" i="60"/>
  <c r="G11" i="60"/>
  <c r="C32" i="100"/>
  <c r="G13" i="1"/>
  <c r="G14" i="1"/>
  <c r="O14" i="1"/>
  <c r="G15" i="1"/>
  <c r="G16" i="1"/>
  <c r="C13" i="100"/>
  <c r="G17" i="1"/>
  <c r="G18" i="1"/>
  <c r="O18" i="1"/>
  <c r="G19" i="1"/>
  <c r="C16" i="100"/>
  <c r="G20" i="1"/>
  <c r="G21" i="1"/>
  <c r="C18" i="100"/>
  <c r="G22" i="1"/>
  <c r="G23" i="1"/>
  <c r="G24" i="1"/>
  <c r="C21" i="100"/>
  <c r="G25" i="1"/>
  <c r="G26" i="1"/>
  <c r="G27" i="1"/>
  <c r="G28" i="1"/>
  <c r="G29" i="1"/>
  <c r="G30" i="1"/>
  <c r="C27" i="100"/>
  <c r="G31" i="1"/>
  <c r="G32" i="1"/>
  <c r="M32" i="1"/>
  <c r="C29" i="100"/>
  <c r="G33" i="1"/>
  <c r="C30" i="100"/>
  <c r="G34" i="1"/>
  <c r="C31" i="100"/>
  <c r="G35" i="1"/>
  <c r="M35" i="1"/>
  <c r="H35" i="58"/>
  <c r="L35" i="58"/>
  <c r="I35" i="58"/>
  <c r="J35" i="58"/>
  <c r="K35" i="58"/>
  <c r="L12" i="58"/>
  <c r="L13" i="58"/>
  <c r="L14" i="58"/>
  <c r="G15" i="111"/>
  <c r="L15" i="58"/>
  <c r="G16" i="111"/>
  <c r="L16" i="58"/>
  <c r="L17" i="58"/>
  <c r="D15" i="160"/>
  <c r="L18" i="58"/>
  <c r="L19" i="58"/>
  <c r="G20" i="111"/>
  <c r="L20" i="58"/>
  <c r="L21" i="58"/>
  <c r="L22" i="58"/>
  <c r="M22" i="58"/>
  <c r="L23" i="58"/>
  <c r="E24" i="66"/>
  <c r="F24" i="66"/>
  <c r="L24" i="58"/>
  <c r="L25" i="58"/>
  <c r="L26" i="58"/>
  <c r="L27" i="58"/>
  <c r="L28" i="58"/>
  <c r="L29" i="58"/>
  <c r="L30" i="58"/>
  <c r="L31" i="58"/>
  <c r="L32" i="58"/>
  <c r="L33" i="58"/>
  <c r="L34" i="58"/>
  <c r="L11" i="58"/>
  <c r="H35" i="59"/>
  <c r="I35" i="59"/>
  <c r="J35" i="59"/>
  <c r="K35" i="59"/>
  <c r="C35" i="59"/>
  <c r="D35" i="59"/>
  <c r="G35" i="59"/>
  <c r="E35" i="59"/>
  <c r="F35" i="59"/>
  <c r="C35" i="58"/>
  <c r="D35" i="58"/>
  <c r="E35" i="58"/>
  <c r="F35" i="58"/>
  <c r="H36" i="1"/>
  <c r="I36" i="1"/>
  <c r="J36" i="1"/>
  <c r="K36" i="1"/>
  <c r="C36" i="1"/>
  <c r="D36" i="1"/>
  <c r="E36" i="1"/>
  <c r="F36" i="1"/>
  <c r="L12" i="59"/>
  <c r="L13" i="59"/>
  <c r="M13" i="59"/>
  <c r="L14" i="59"/>
  <c r="L15" i="59"/>
  <c r="L16" i="59"/>
  <c r="L17" i="59"/>
  <c r="L18" i="59"/>
  <c r="L19" i="59"/>
  <c r="L20" i="59"/>
  <c r="L21" i="59"/>
  <c r="L22" i="59"/>
  <c r="L23" i="59"/>
  <c r="L24" i="59"/>
  <c r="M24" i="59"/>
  <c r="L25" i="59"/>
  <c r="D23" i="160"/>
  <c r="E23" i="160"/>
  <c r="L26" i="59"/>
  <c r="L27" i="59"/>
  <c r="E28" i="66"/>
  <c r="F28" i="66"/>
  <c r="L28" i="59"/>
  <c r="L29" i="59"/>
  <c r="L30" i="59"/>
  <c r="M30" i="59"/>
  <c r="L31" i="59"/>
  <c r="L32" i="59"/>
  <c r="L33" i="59"/>
  <c r="L34" i="59"/>
  <c r="D32" i="160"/>
  <c r="L11" i="59"/>
  <c r="E12" i="66"/>
  <c r="F12" i="66"/>
  <c r="G12" i="59"/>
  <c r="D10" i="100"/>
  <c r="F10" i="100"/>
  <c r="C10" i="142"/>
  <c r="G13" i="59"/>
  <c r="D11" i="100"/>
  <c r="G14" i="59"/>
  <c r="D12" i="100"/>
  <c r="G15" i="59"/>
  <c r="G16" i="59"/>
  <c r="D14" i="100"/>
  <c r="G17" i="59"/>
  <c r="D15" i="100"/>
  <c r="G18" i="59"/>
  <c r="D16" i="100"/>
  <c r="G19" i="59"/>
  <c r="G20" i="59"/>
  <c r="D18" i="100"/>
  <c r="G21" i="59"/>
  <c r="D19" i="100"/>
  <c r="G22" i="59"/>
  <c r="G23" i="59"/>
  <c r="D21" i="100"/>
  <c r="G24" i="59"/>
  <c r="D22" i="100"/>
  <c r="G25" i="59"/>
  <c r="G26" i="59"/>
  <c r="D24" i="100"/>
  <c r="G27" i="59"/>
  <c r="G28" i="59"/>
  <c r="G29" i="59"/>
  <c r="G30" i="59"/>
  <c r="D28" i="100"/>
  <c r="G31" i="59"/>
  <c r="M31" i="59"/>
  <c r="G32" i="59"/>
  <c r="D30" i="100"/>
  <c r="G33" i="59"/>
  <c r="G34" i="59"/>
  <c r="G11" i="59"/>
  <c r="G12" i="58"/>
  <c r="M12" i="58"/>
  <c r="E10" i="100"/>
  <c r="G13" i="58"/>
  <c r="E11" i="100"/>
  <c r="G14" i="58"/>
  <c r="G15" i="58"/>
  <c r="G16" i="58"/>
  <c r="G17" i="58"/>
  <c r="E15" i="100"/>
  <c r="G18" i="58"/>
  <c r="E16" i="100"/>
  <c r="G19" i="58"/>
  <c r="E17" i="100"/>
  <c r="M19" i="58"/>
  <c r="G20" i="58"/>
  <c r="E18" i="100"/>
  <c r="G21" i="58"/>
  <c r="G22" i="58"/>
  <c r="G23" i="58"/>
  <c r="M23" i="58"/>
  <c r="G24" i="58"/>
  <c r="E22" i="100"/>
  <c r="G25" i="58"/>
  <c r="E23" i="100"/>
  <c r="G26" i="58"/>
  <c r="E24" i="100"/>
  <c r="G27" i="58"/>
  <c r="M27" i="58"/>
  <c r="G28" i="58"/>
  <c r="G29" i="58"/>
  <c r="E27" i="100"/>
  <c r="G30" i="58"/>
  <c r="G31" i="58"/>
  <c r="G33" i="58"/>
  <c r="G34" i="58"/>
  <c r="G11" i="58"/>
  <c r="L13" i="1"/>
  <c r="D10" i="160"/>
  <c r="L14" i="1"/>
  <c r="L15" i="1"/>
  <c r="L16" i="1"/>
  <c r="L17" i="1"/>
  <c r="C17" i="66"/>
  <c r="D17" i="66"/>
  <c r="L18" i="1"/>
  <c r="M18" i="1"/>
  <c r="L19" i="1"/>
  <c r="L20" i="1"/>
  <c r="G20" i="4"/>
  <c r="L21" i="1"/>
  <c r="L22" i="1"/>
  <c r="L23" i="1"/>
  <c r="L24" i="1"/>
  <c r="C24" i="66"/>
  <c r="L25" i="1"/>
  <c r="L26" i="1"/>
  <c r="L27" i="1"/>
  <c r="G27" i="4"/>
  <c r="L28" i="1"/>
  <c r="G25" i="100"/>
  <c r="L29" i="1"/>
  <c r="M29" i="1"/>
  <c r="L30" i="1"/>
  <c r="L31" i="1"/>
  <c r="C31" i="66"/>
  <c r="D31" i="66"/>
  <c r="L32" i="1"/>
  <c r="L33" i="1"/>
  <c r="L34" i="1"/>
  <c r="C34" i="66"/>
  <c r="D34" i="66"/>
  <c r="L35" i="1"/>
  <c r="L12" i="1"/>
  <c r="G12" i="4"/>
  <c r="M19" i="1"/>
  <c r="M24" i="1"/>
  <c r="G12" i="1"/>
  <c r="C9" i="100"/>
  <c r="Q23" i="96"/>
  <c r="U23" i="96"/>
  <c r="U25" i="96"/>
  <c r="I25" i="96"/>
  <c r="I26" i="96"/>
  <c r="K25" i="96"/>
  <c r="L25" i="96"/>
  <c r="M25" i="96"/>
  <c r="N25" i="96"/>
  <c r="G23" i="96"/>
  <c r="H23" i="96"/>
  <c r="L16" i="96"/>
  <c r="L20" i="96"/>
  <c r="M16" i="96"/>
  <c r="M20" i="96"/>
  <c r="M21" i="96"/>
  <c r="M26" i="96"/>
  <c r="K16" i="96"/>
  <c r="K20" i="96"/>
  <c r="K21" i="96"/>
  <c r="K26" i="96"/>
  <c r="H16" i="96"/>
  <c r="H20" i="96"/>
  <c r="I16" i="96"/>
  <c r="I21" i="96"/>
  <c r="I20" i="96"/>
  <c r="G16" i="96"/>
  <c r="G20" i="96"/>
  <c r="P46" i="56"/>
  <c r="O46" i="56"/>
  <c r="Q46" i="56"/>
  <c r="M46" i="56"/>
  <c r="L46" i="56"/>
  <c r="N46" i="56"/>
  <c r="Q45" i="56"/>
  <c r="N45" i="56"/>
  <c r="G45" i="56"/>
  <c r="D45" i="56"/>
  <c r="G46" i="56"/>
  <c r="D46" i="56"/>
  <c r="Q44" i="56"/>
  <c r="N44" i="56"/>
  <c r="G44" i="56"/>
  <c r="D44" i="56"/>
  <c r="S31" i="56"/>
  <c r="Q31" i="56"/>
  <c r="O31" i="56"/>
  <c r="M31" i="56"/>
  <c r="K31" i="56"/>
  <c r="I31" i="56"/>
  <c r="G31" i="56"/>
  <c r="E31" i="56"/>
  <c r="E17" i="56"/>
  <c r="M20" i="1"/>
  <c r="M33" i="1"/>
  <c r="M12" i="59"/>
  <c r="O19" i="1"/>
  <c r="M16" i="1"/>
  <c r="M14" i="59"/>
  <c r="E20" i="100"/>
  <c r="M25" i="58"/>
  <c r="L12" i="47"/>
  <c r="L16" i="47"/>
  <c r="J12" i="127"/>
  <c r="H36" i="127"/>
  <c r="M21" i="59"/>
  <c r="M32" i="59"/>
  <c r="M23" i="59"/>
  <c r="O32" i="1"/>
  <c r="M18" i="58"/>
  <c r="D26" i="96"/>
  <c r="C18" i="66"/>
  <c r="D18" i="66"/>
  <c r="G15" i="100"/>
  <c r="C14" i="66"/>
  <c r="D14" i="66"/>
  <c r="G14" i="4"/>
  <c r="C35" i="66"/>
  <c r="D35" i="66"/>
  <c r="G35" i="4"/>
  <c r="D24" i="66"/>
  <c r="G24" i="4"/>
  <c r="D18" i="160"/>
  <c r="E18" i="160"/>
  <c r="G17" i="4"/>
  <c r="C13" i="66"/>
  <c r="D13" i="66"/>
  <c r="O33" i="1"/>
  <c r="D29" i="100"/>
  <c r="O20" i="96"/>
  <c r="S20" i="96"/>
  <c r="G34" i="4"/>
  <c r="D28" i="160"/>
  <c r="C27" i="66"/>
  <c r="D27" i="66"/>
  <c r="D17" i="160"/>
  <c r="E17" i="160"/>
  <c r="C20" i="66"/>
  <c r="D20" i="66"/>
  <c r="G17" i="100"/>
  <c r="C16" i="66"/>
  <c r="D16" i="66"/>
  <c r="G16" i="4"/>
  <c r="M16" i="59"/>
  <c r="C33" i="66"/>
  <c r="D33" i="66"/>
  <c r="G33" i="4"/>
  <c r="E32" i="100"/>
  <c r="D20" i="100"/>
  <c r="F20" i="100"/>
  <c r="C32" i="66"/>
  <c r="D32" i="66"/>
  <c r="C26" i="66"/>
  <c r="D26" i="66"/>
  <c r="C19" i="66"/>
  <c r="D19" i="66"/>
  <c r="D12" i="160"/>
  <c r="E15" i="66"/>
  <c r="F15" i="66"/>
  <c r="R38" i="88"/>
  <c r="G32" i="4"/>
  <c r="E34" i="66"/>
  <c r="F34" i="66"/>
  <c r="E26" i="66"/>
  <c r="F26" i="66"/>
  <c r="E14" i="66"/>
  <c r="F14" i="66"/>
  <c r="L26" i="60"/>
  <c r="G35" i="111"/>
  <c r="G31" i="111"/>
  <c r="G23" i="111"/>
  <c r="E13" i="66"/>
  <c r="G19" i="4"/>
  <c r="G34" i="111"/>
  <c r="G13" i="111"/>
  <c r="G12" i="111"/>
  <c r="E20" i="66"/>
  <c r="F20" i="66"/>
  <c r="L23" i="60"/>
  <c r="G23" i="4"/>
  <c r="G26" i="111"/>
  <c r="C26" i="96"/>
  <c r="Q38" i="88"/>
  <c r="F26" i="96"/>
  <c r="M20" i="58"/>
  <c r="O21" i="1"/>
  <c r="G21" i="4"/>
  <c r="L21" i="47"/>
  <c r="L24" i="47"/>
  <c r="L27" i="47"/>
  <c r="L19" i="47"/>
  <c r="L13" i="60"/>
  <c r="L16" i="60"/>
  <c r="L15" i="60"/>
  <c r="L18" i="60"/>
  <c r="M11" i="58"/>
  <c r="E9" i="100"/>
  <c r="G28" i="111"/>
  <c r="L36" i="1"/>
  <c r="P36" i="1"/>
  <c r="M26" i="58"/>
  <c r="M27" i="1"/>
  <c r="M24" i="58"/>
  <c r="E21" i="138"/>
  <c r="C15" i="124"/>
  <c r="F15" i="124"/>
  <c r="H36" i="13"/>
  <c r="E36" i="13"/>
  <c r="I12" i="13"/>
  <c r="I36" i="13"/>
  <c r="U22" i="163"/>
  <c r="U33" i="163"/>
  <c r="C36" i="163"/>
  <c r="U29" i="163"/>
  <c r="P37" i="165"/>
  <c r="Q18" i="165"/>
  <c r="Q19" i="165"/>
  <c r="Q24" i="165"/>
  <c r="Q25" i="165"/>
  <c r="Q34" i="165"/>
  <c r="Q35" i="165"/>
  <c r="Q21" i="164"/>
  <c r="Q37" i="164"/>
  <c r="N38" i="164"/>
  <c r="Q16" i="164"/>
  <c r="Q17" i="164"/>
  <c r="Q24" i="164"/>
  <c r="Q25" i="164"/>
  <c r="Q34" i="164"/>
  <c r="Q35" i="164"/>
  <c r="Q15" i="164"/>
  <c r="Q33" i="164"/>
  <c r="Q23" i="164"/>
  <c r="Q28" i="164"/>
  <c r="Q29" i="164"/>
  <c r="Q22" i="165"/>
  <c r="Q23" i="165"/>
  <c r="Q28" i="165"/>
  <c r="Q29" i="165"/>
  <c r="Q21" i="165"/>
  <c r="N37" i="165"/>
  <c r="Q16" i="165"/>
  <c r="Q17" i="165"/>
  <c r="Q26" i="165"/>
  <c r="Q27" i="165"/>
  <c r="Q32" i="165"/>
  <c r="Q33" i="165"/>
  <c r="E13" i="165"/>
  <c r="Q13" i="165"/>
  <c r="H36" i="153"/>
  <c r="U14" i="153"/>
  <c r="V14" i="153"/>
  <c r="J14" i="153"/>
  <c r="F35" i="153"/>
  <c r="F32" i="153"/>
  <c r="T26" i="153"/>
  <c r="V26" i="153"/>
  <c r="F24" i="153"/>
  <c r="D36" i="153"/>
  <c r="S36" i="153"/>
  <c r="E36" i="153"/>
  <c r="F12" i="153"/>
  <c r="G18" i="162"/>
  <c r="P14" i="162"/>
  <c r="R14" i="162"/>
  <c r="P18" i="162"/>
  <c r="R20" i="162"/>
  <c r="P21" i="162"/>
  <c r="Q21" i="162"/>
  <c r="P23" i="162"/>
  <c r="R23" i="162"/>
  <c r="P26" i="162"/>
  <c r="R26" i="162"/>
  <c r="P29" i="162"/>
  <c r="P32" i="162"/>
  <c r="R32" i="162"/>
  <c r="P33" i="162"/>
  <c r="R33" i="162"/>
  <c r="P34" i="162"/>
  <c r="R34" i="162"/>
  <c r="F31" i="162"/>
  <c r="G31" i="162"/>
  <c r="F27" i="162"/>
  <c r="F23" i="162"/>
  <c r="G23" i="162"/>
  <c r="F19" i="162"/>
  <c r="G19" i="162"/>
  <c r="P24" i="162"/>
  <c r="R24" i="162"/>
  <c r="P27" i="162"/>
  <c r="R27" i="162"/>
  <c r="P35" i="162"/>
  <c r="R35" i="162"/>
  <c r="F35" i="162"/>
  <c r="G35" i="162"/>
  <c r="F32" i="162"/>
  <c r="G32" i="162"/>
  <c r="F20" i="162"/>
  <c r="G20" i="162"/>
  <c r="F16" i="162"/>
  <c r="P16" i="162"/>
  <c r="Q16" i="162"/>
  <c r="P22" i="162"/>
  <c r="P25" i="162"/>
  <c r="R25" i="162"/>
  <c r="P30" i="162"/>
  <c r="R16" i="162"/>
  <c r="R21" i="162"/>
  <c r="M12" i="1"/>
  <c r="H35" i="60"/>
  <c r="L12" i="60"/>
  <c r="L20" i="47"/>
  <c r="Q31" i="164"/>
  <c r="H38" i="164"/>
  <c r="O16" i="1"/>
  <c r="L21" i="96"/>
  <c r="L26" i="96"/>
  <c r="N16" i="96"/>
  <c r="E26" i="100"/>
  <c r="M28" i="58"/>
  <c r="D9" i="100"/>
  <c r="M11" i="59"/>
  <c r="O12" i="1"/>
  <c r="C28" i="100"/>
  <c r="M31" i="1"/>
  <c r="I25" i="115"/>
  <c r="E28" i="115"/>
  <c r="C25" i="115"/>
  <c r="C28" i="66"/>
  <c r="D28" i="66"/>
  <c r="L17" i="47"/>
  <c r="J36" i="127"/>
  <c r="E13" i="100"/>
  <c r="D30" i="160"/>
  <c r="E30" i="160"/>
  <c r="E33" i="66"/>
  <c r="F33" i="66"/>
  <c r="G33" i="111"/>
  <c r="G25" i="111"/>
  <c r="E17" i="66"/>
  <c r="F17" i="66"/>
  <c r="D14" i="160"/>
  <c r="G17" i="111"/>
  <c r="J13" i="117"/>
  <c r="O31" i="144"/>
  <c r="M31" i="144"/>
  <c r="K14" i="159"/>
  <c r="K11" i="159"/>
  <c r="E27" i="66"/>
  <c r="F27" i="66"/>
  <c r="D24" i="160"/>
  <c r="G27" i="111"/>
  <c r="N20" i="144"/>
  <c r="J20" i="144"/>
  <c r="T20" i="144"/>
  <c r="K35" i="60"/>
  <c r="C20" i="100"/>
  <c r="M23" i="1"/>
  <c r="F36" i="4"/>
  <c r="G32" i="111"/>
  <c r="M17" i="1"/>
  <c r="C14" i="100"/>
  <c r="G24" i="100"/>
  <c r="M25" i="59"/>
  <c r="D23" i="100"/>
  <c r="M19" i="59"/>
  <c r="D17" i="100"/>
  <c r="G36" i="1"/>
  <c r="M36" i="1"/>
  <c r="G35" i="58"/>
  <c r="M35" i="58"/>
  <c r="L35" i="59"/>
  <c r="P35" i="58"/>
  <c r="M29" i="58"/>
  <c r="E22" i="66"/>
  <c r="F22" i="66"/>
  <c r="G22" i="111"/>
  <c r="G14" i="111"/>
  <c r="M13" i="58"/>
  <c r="I19" i="27"/>
  <c r="J19" i="27"/>
  <c r="I22" i="27"/>
  <c r="J22" i="27"/>
  <c r="G16" i="100"/>
  <c r="E19" i="66"/>
  <c r="F19" i="66"/>
  <c r="G21" i="100"/>
  <c r="C21" i="124"/>
  <c r="J21" i="124"/>
  <c r="D21" i="160"/>
  <c r="G24" i="111"/>
  <c r="V18" i="60"/>
  <c r="C18" i="65"/>
  <c r="J11" i="144"/>
  <c r="N11" i="144"/>
  <c r="J15" i="124"/>
  <c r="V34" i="60"/>
  <c r="F36" i="111"/>
  <c r="M33" i="59"/>
  <c r="O34" i="1"/>
  <c r="D31" i="100"/>
  <c r="E16" i="66"/>
  <c r="F16" i="66"/>
  <c r="N30" i="144"/>
  <c r="O30" i="144"/>
  <c r="J30" i="144"/>
  <c r="G16" i="162"/>
  <c r="G9" i="100"/>
  <c r="L17" i="60"/>
  <c r="G28" i="4"/>
  <c r="C21" i="66"/>
  <c r="D21" i="66"/>
  <c r="M21" i="1"/>
  <c r="G18" i="100"/>
  <c r="G13" i="4"/>
  <c r="O24" i="1"/>
  <c r="D27" i="100"/>
  <c r="O30" i="1"/>
  <c r="C10" i="100"/>
  <c r="O13" i="1"/>
  <c r="L33" i="47"/>
  <c r="N14" i="157"/>
  <c r="I33" i="157"/>
  <c r="O14" i="157"/>
  <c r="G25" i="96"/>
  <c r="O25" i="96"/>
  <c r="O23" i="96"/>
  <c r="E18" i="66"/>
  <c r="F18" i="66"/>
  <c r="G18" i="111"/>
  <c r="M17" i="59"/>
  <c r="V27" i="60"/>
  <c r="C27" i="65"/>
  <c r="V22" i="60"/>
  <c r="L29" i="60"/>
  <c r="L24" i="60"/>
  <c r="K30" i="146"/>
  <c r="K26" i="146"/>
  <c r="I26" i="146"/>
  <c r="J35" i="146"/>
  <c r="L33" i="158"/>
  <c r="K33" i="157"/>
  <c r="I63" i="157"/>
  <c r="Q16" i="96"/>
  <c r="E25" i="100"/>
  <c r="G28" i="100"/>
  <c r="O28" i="1"/>
  <c r="C31" i="65"/>
  <c r="C15" i="65"/>
  <c r="J15" i="29"/>
  <c r="I15" i="29"/>
  <c r="O15" i="29"/>
  <c r="N15" i="29"/>
  <c r="M15" i="29"/>
  <c r="F18" i="100"/>
  <c r="C18" i="142"/>
  <c r="J18" i="4"/>
  <c r="O18" i="4"/>
  <c r="J14" i="29"/>
  <c r="T14" i="29"/>
  <c r="H21" i="96"/>
  <c r="M30" i="1"/>
  <c r="C30" i="66"/>
  <c r="D30" i="66"/>
  <c r="M16" i="58"/>
  <c r="V11" i="60"/>
  <c r="V30" i="60"/>
  <c r="C19" i="65"/>
  <c r="V14" i="60"/>
  <c r="L13" i="47"/>
  <c r="J16" i="111"/>
  <c r="M32" i="58"/>
  <c r="E30" i="100"/>
  <c r="F30" i="100"/>
  <c r="E31" i="66"/>
  <c r="F31" i="66"/>
  <c r="C23" i="66"/>
  <c r="D23" i="66"/>
  <c r="G31" i="4"/>
  <c r="J23" i="96"/>
  <c r="J25" i="96"/>
  <c r="Q25" i="96"/>
  <c r="G11" i="100"/>
  <c r="C12" i="103"/>
  <c r="O26" i="1"/>
  <c r="J13" i="27"/>
  <c r="I13" i="27"/>
  <c r="L33" i="157"/>
  <c r="M33" i="157"/>
  <c r="G63" i="158"/>
  <c r="U27" i="157"/>
  <c r="M32" i="158"/>
  <c r="N32" i="158"/>
  <c r="G33" i="158"/>
  <c r="N18" i="158"/>
  <c r="O18" i="158"/>
  <c r="M18" i="158"/>
  <c r="E32" i="165"/>
  <c r="D37" i="165"/>
  <c r="J17" i="27"/>
  <c r="I17" i="27"/>
  <c r="K32" i="145"/>
  <c r="I32" i="145"/>
  <c r="K22" i="145"/>
  <c r="I22" i="145"/>
  <c r="K17" i="147"/>
  <c r="I17" i="147"/>
  <c r="M17" i="58"/>
  <c r="V33" i="60"/>
  <c r="V25" i="60"/>
  <c r="M20" i="29"/>
  <c r="M27" i="29"/>
  <c r="O26" i="29"/>
  <c r="M26" i="29"/>
  <c r="P20" i="147"/>
  <c r="E20" i="147"/>
  <c r="I34" i="146"/>
  <c r="K34" i="146"/>
  <c r="C32" i="65"/>
  <c r="C16" i="65"/>
  <c r="S14" i="88"/>
  <c r="E19" i="145"/>
  <c r="P19" i="145"/>
  <c r="L36" i="153"/>
  <c r="N15" i="153"/>
  <c r="T15" i="153"/>
  <c r="P16" i="96"/>
  <c r="T16" i="96"/>
  <c r="V20" i="60"/>
  <c r="V12" i="60"/>
  <c r="T26" i="144"/>
  <c r="K25" i="159"/>
  <c r="N29" i="29"/>
  <c r="M29" i="29"/>
  <c r="J29" i="29"/>
  <c r="N16" i="144"/>
  <c r="J16" i="144"/>
  <c r="P11" i="145"/>
  <c r="E11" i="145"/>
  <c r="AA36" i="153"/>
  <c r="AA41" i="153"/>
  <c r="J28" i="153"/>
  <c r="T28" i="153"/>
  <c r="G18" i="4"/>
  <c r="Q20" i="96"/>
  <c r="U20" i="96"/>
  <c r="U21" i="96"/>
  <c r="U26" i="96"/>
  <c r="D36" i="26"/>
  <c r="J37" i="86"/>
  <c r="K25" i="147"/>
  <c r="I25" i="147"/>
  <c r="H11" i="28"/>
  <c r="H23" i="28"/>
  <c r="M26" i="144"/>
  <c r="P23" i="145"/>
  <c r="E23" i="145"/>
  <c r="H11" i="27"/>
  <c r="E17" i="146"/>
  <c r="N23" i="157"/>
  <c r="P23" i="157"/>
  <c r="T12" i="144"/>
  <c r="K11" i="145"/>
  <c r="Q20" i="161"/>
  <c r="Q27" i="161"/>
  <c r="E28" i="147"/>
  <c r="P28" i="147"/>
  <c r="I28" i="147"/>
  <c r="K19" i="146"/>
  <c r="I19" i="146"/>
  <c r="P17" i="157"/>
  <c r="F34" i="153"/>
  <c r="T34" i="153"/>
  <c r="V34" i="153"/>
  <c r="J11" i="29"/>
  <c r="O31" i="29"/>
  <c r="K31" i="146"/>
  <c r="I31" i="146"/>
  <c r="R31" i="153"/>
  <c r="U31" i="153"/>
  <c r="P32" i="147"/>
  <c r="E32" i="147"/>
  <c r="K13" i="146"/>
  <c r="U12" i="153"/>
  <c r="V12" i="153"/>
  <c r="F33" i="153"/>
  <c r="U15" i="153"/>
  <c r="V15" i="153"/>
  <c r="R34" i="153"/>
  <c r="R15" i="153"/>
  <c r="P36" i="153"/>
  <c r="E35" i="65"/>
  <c r="K16" i="65"/>
  <c r="K35" i="65"/>
  <c r="V16" i="161"/>
  <c r="J17" i="161"/>
  <c r="G26" i="152"/>
  <c r="U17" i="153"/>
  <c r="U18" i="161"/>
  <c r="Q27" i="164"/>
  <c r="E14" i="145"/>
  <c r="E29" i="147"/>
  <c r="K25" i="146"/>
  <c r="I25" i="146"/>
  <c r="N31" i="157"/>
  <c r="P31" i="157"/>
  <c r="M24" i="158"/>
  <c r="O24" i="158"/>
  <c r="M17" i="158"/>
  <c r="T27" i="153"/>
  <c r="G31" i="152"/>
  <c r="T30" i="153"/>
  <c r="F30" i="153"/>
  <c r="F17" i="153"/>
  <c r="T22" i="153"/>
  <c r="J22" i="153"/>
  <c r="J18" i="153"/>
  <c r="U18" i="153"/>
  <c r="R22" i="153"/>
  <c r="R14" i="153"/>
  <c r="W17" i="161"/>
  <c r="I19" i="161"/>
  <c r="U19" i="161"/>
  <c r="T19" i="161"/>
  <c r="W19" i="161"/>
  <c r="Q26" i="164"/>
  <c r="Q14" i="165"/>
  <c r="Q36" i="153"/>
  <c r="F20" i="153"/>
  <c r="T20" i="153"/>
  <c r="U16" i="153"/>
  <c r="V16" i="153"/>
  <c r="F16" i="153"/>
  <c r="U25" i="153"/>
  <c r="V25" i="153"/>
  <c r="I36" i="153"/>
  <c r="E25" i="14"/>
  <c r="E26" i="14"/>
  <c r="G17" i="14"/>
  <c r="G25" i="14"/>
  <c r="G26" i="14"/>
  <c r="E20" i="161"/>
  <c r="K15" i="161"/>
  <c r="J19" i="161"/>
  <c r="V19" i="161"/>
  <c r="K25" i="161"/>
  <c r="W23" i="161"/>
  <c r="W25" i="161"/>
  <c r="P38" i="164"/>
  <c r="H37" i="165"/>
  <c r="K37" i="165"/>
  <c r="I16" i="146"/>
  <c r="F29" i="153"/>
  <c r="F19" i="153"/>
  <c r="U19" i="153"/>
  <c r="J25" i="153"/>
  <c r="R25" i="153"/>
  <c r="R17" i="153"/>
  <c r="D40" i="139"/>
  <c r="U17" i="161"/>
  <c r="N36" i="162"/>
  <c r="O28" i="163"/>
  <c r="J35" i="60"/>
  <c r="N10" i="157"/>
  <c r="P10" i="157"/>
  <c r="N26" i="157"/>
  <c r="P26" i="157"/>
  <c r="T29" i="153"/>
  <c r="V29" i="153"/>
  <c r="T21" i="153"/>
  <c r="G11" i="152"/>
  <c r="U22" i="153"/>
  <c r="V22" i="153"/>
  <c r="N19" i="153"/>
  <c r="J20" i="161"/>
  <c r="Q20" i="165"/>
  <c r="R15" i="161"/>
  <c r="E25" i="161"/>
  <c r="K20" i="161"/>
  <c r="O11" i="144"/>
  <c r="K15" i="124"/>
  <c r="I13" i="146"/>
  <c r="T15" i="29"/>
  <c r="E28" i="123"/>
  <c r="E32" i="138"/>
  <c r="C28" i="124"/>
  <c r="J28" i="124"/>
  <c r="I28" i="124"/>
  <c r="E30" i="84"/>
  <c r="J30" i="84"/>
  <c r="C29" i="103"/>
  <c r="H29" i="103"/>
  <c r="J29" i="103"/>
  <c r="E18" i="123"/>
  <c r="C19" i="103"/>
  <c r="H19" i="103"/>
  <c r="J19" i="103"/>
  <c r="R20" i="161"/>
  <c r="R27" i="161"/>
  <c r="I11" i="145"/>
  <c r="I29" i="29"/>
  <c r="T29" i="29"/>
  <c r="I14" i="29"/>
  <c r="H17" i="14"/>
  <c r="H25" i="14"/>
  <c r="H26" i="14"/>
  <c r="H12" i="103"/>
  <c r="J12" i="103"/>
  <c r="E13" i="84"/>
  <c r="J13" i="84"/>
  <c r="C11" i="124"/>
  <c r="J11" i="124"/>
  <c r="E15" i="138"/>
  <c r="U16" i="96"/>
  <c r="Q21" i="96"/>
  <c r="Q26" i="96"/>
  <c r="O16" i="144"/>
  <c r="Q37" i="165"/>
  <c r="P14" i="157"/>
  <c r="D25" i="115"/>
  <c r="J25" i="115"/>
  <c r="H18" i="100"/>
  <c r="S23" i="96"/>
  <c r="S25" i="96"/>
  <c r="O20" i="144"/>
  <c r="M20" i="144"/>
  <c r="I11" i="29"/>
  <c r="T16" i="144"/>
  <c r="I16" i="144"/>
  <c r="I30" i="144"/>
  <c r="T30" i="144"/>
  <c r="C22" i="103"/>
  <c r="H22" i="103"/>
  <c r="J22" i="103"/>
  <c r="C25" i="103"/>
  <c r="H25" i="103"/>
  <c r="J25" i="103"/>
  <c r="E28" i="138"/>
  <c r="C24" i="124"/>
  <c r="F24" i="124"/>
  <c r="E26" i="84"/>
  <c r="J26" i="84"/>
  <c r="E24" i="123"/>
  <c r="L11" i="159"/>
  <c r="E27" i="84"/>
  <c r="J27" i="84"/>
  <c r="C26" i="103"/>
  <c r="H26" i="103"/>
  <c r="J26" i="103"/>
  <c r="E29" i="138"/>
  <c r="M11" i="144"/>
  <c r="J24" i="124"/>
  <c r="I24" i="124"/>
  <c r="K28" i="124"/>
  <c r="N28" i="124"/>
  <c r="N24" i="124"/>
  <c r="I12" i="145"/>
  <c r="P24" i="145"/>
  <c r="F35" i="145"/>
  <c r="E28" i="145"/>
  <c r="I31" i="145"/>
  <c r="P32" i="145"/>
  <c r="I15" i="145"/>
  <c r="P20" i="145"/>
  <c r="Q22" i="164"/>
  <c r="C26" i="14"/>
  <c r="R33" i="62"/>
  <c r="R21" i="62"/>
  <c r="R32" i="62"/>
  <c r="R16" i="62"/>
  <c r="R11" i="62"/>
  <c r="R34" i="62"/>
  <c r="R22" i="62"/>
  <c r="F33" i="62"/>
  <c r="F21" i="62"/>
  <c r="P29" i="62"/>
  <c r="R29" i="62"/>
  <c r="P25" i="62"/>
  <c r="P17" i="62"/>
  <c r="R17" i="62"/>
  <c r="P13" i="62"/>
  <c r="C35" i="62"/>
  <c r="F35" i="62"/>
  <c r="P31" i="62"/>
  <c r="R31" i="62"/>
  <c r="P23" i="62"/>
  <c r="P15" i="62"/>
  <c r="R15" i="62"/>
  <c r="N35" i="62"/>
  <c r="X36" i="78"/>
  <c r="X35" i="78"/>
  <c r="R27" i="62"/>
  <c r="D35" i="62"/>
  <c r="F18" i="62"/>
  <c r="G29" i="163"/>
  <c r="Q22" i="162"/>
  <c r="Q14" i="162"/>
  <c r="Q18" i="162"/>
  <c r="R22" i="162"/>
  <c r="Q30" i="162"/>
  <c r="Q35" i="162"/>
  <c r="Q20" i="162"/>
  <c r="Q23" i="162"/>
  <c r="G14" i="162"/>
  <c r="Q33" i="162"/>
  <c r="Q32" i="162"/>
  <c r="R18" i="162"/>
  <c r="Q31" i="162"/>
  <c r="Q24" i="162"/>
  <c r="Q19" i="162"/>
  <c r="E16" i="164"/>
  <c r="D38" i="164"/>
  <c r="E25" i="164"/>
  <c r="E29" i="164"/>
  <c r="E31" i="164"/>
  <c r="E22" i="164"/>
  <c r="E24" i="164"/>
  <c r="E26" i="164"/>
  <c r="E30" i="164"/>
  <c r="E32" i="164"/>
  <c r="E36" i="164"/>
  <c r="E24" i="160"/>
  <c r="E28" i="160"/>
  <c r="C33" i="160"/>
  <c r="E33" i="164"/>
  <c r="E37" i="164"/>
  <c r="E14" i="160"/>
  <c r="E12" i="160"/>
  <c r="O32" i="4"/>
  <c r="O14" i="4"/>
  <c r="E15" i="164"/>
  <c r="E21" i="164"/>
  <c r="E23" i="164"/>
  <c r="E34" i="164"/>
  <c r="C38" i="164"/>
  <c r="E14" i="164"/>
  <c r="E17" i="164"/>
  <c r="E19" i="164"/>
  <c r="E20" i="164"/>
  <c r="E28" i="164"/>
  <c r="I21" i="124"/>
  <c r="N21" i="124"/>
  <c r="K21" i="124"/>
  <c r="C20" i="142"/>
  <c r="H20" i="100"/>
  <c r="P35" i="62"/>
  <c r="I11" i="28"/>
  <c r="N11" i="124"/>
  <c r="I11" i="124"/>
  <c r="E13" i="138"/>
  <c r="E11" i="84"/>
  <c r="E9" i="123"/>
  <c r="I11" i="144"/>
  <c r="T11" i="144"/>
  <c r="C17" i="103"/>
  <c r="H17" i="103"/>
  <c r="J17" i="103"/>
  <c r="C16" i="124"/>
  <c r="J16" i="124"/>
  <c r="E18" i="84"/>
  <c r="J18" i="84"/>
  <c r="E16" i="123"/>
  <c r="D26" i="100"/>
  <c r="F26" i="100"/>
  <c r="M28" i="59"/>
  <c r="M22" i="59"/>
  <c r="O23" i="1"/>
  <c r="C21" i="141"/>
  <c r="C23" i="65"/>
  <c r="J36" i="4"/>
  <c r="L36" i="4"/>
  <c r="G12" i="163"/>
  <c r="G36" i="163"/>
  <c r="F36" i="163"/>
  <c r="E25" i="138"/>
  <c r="T11" i="29"/>
  <c r="C9" i="124"/>
  <c r="M30" i="144"/>
  <c r="I20" i="144"/>
  <c r="V17" i="60"/>
  <c r="O32" i="158"/>
  <c r="C18" i="124"/>
  <c r="E20" i="84"/>
  <c r="J20" i="84"/>
  <c r="E22" i="138"/>
  <c r="R30" i="162"/>
  <c r="D9" i="160"/>
  <c r="G15" i="162"/>
  <c r="G27" i="162"/>
  <c r="Q27" i="162"/>
  <c r="F13" i="66"/>
  <c r="E19" i="84"/>
  <c r="J19" i="84"/>
  <c r="C18" i="103"/>
  <c r="H18" i="103"/>
  <c r="J18" i="103"/>
  <c r="E17" i="123"/>
  <c r="C17" i="124"/>
  <c r="J17" i="124"/>
  <c r="P20" i="96"/>
  <c r="J20" i="96"/>
  <c r="G22" i="4"/>
  <c r="C22" i="66"/>
  <c r="D22" i="66"/>
  <c r="D19" i="160"/>
  <c r="E19" i="160"/>
  <c r="G19" i="100"/>
  <c r="G12" i="100"/>
  <c r="G15" i="4"/>
  <c r="C15" i="66"/>
  <c r="D15" i="66"/>
  <c r="O35" i="1"/>
  <c r="M34" i="58"/>
  <c r="E19" i="100"/>
  <c r="M21" i="58"/>
  <c r="O17" i="1"/>
  <c r="E14" i="100"/>
  <c r="D32" i="100"/>
  <c r="M34" i="59"/>
  <c r="C9" i="141"/>
  <c r="C11" i="65"/>
  <c r="C27" i="141"/>
  <c r="V29" i="60"/>
  <c r="C29" i="65"/>
  <c r="P28" i="162"/>
  <c r="R28" i="162"/>
  <c r="F28" i="162"/>
  <c r="G25" i="162"/>
  <c r="Q25" i="162"/>
  <c r="I11" i="27"/>
  <c r="J11" i="27"/>
  <c r="C30" i="142"/>
  <c r="E21" i="123"/>
  <c r="E23" i="84"/>
  <c r="J23" i="84"/>
  <c r="J16" i="96"/>
  <c r="G21" i="96"/>
  <c r="G26" i="96"/>
  <c r="O16" i="96"/>
  <c r="F9" i="100"/>
  <c r="C29" i="66"/>
  <c r="D29" i="66"/>
  <c r="G29" i="4"/>
  <c r="D26" i="160"/>
  <c r="E26" i="160"/>
  <c r="G26" i="100"/>
  <c r="C25" i="66"/>
  <c r="D25" i="66"/>
  <c r="D22" i="160"/>
  <c r="E22" i="160"/>
  <c r="G25" i="4"/>
  <c r="G22" i="100"/>
  <c r="C22" i="141"/>
  <c r="C24" i="65"/>
  <c r="V24" i="60"/>
  <c r="C21" i="65"/>
  <c r="V21" i="60"/>
  <c r="G36" i="127"/>
  <c r="G34" i="162"/>
  <c r="Q34" i="162"/>
  <c r="I30" i="146"/>
  <c r="K24" i="124"/>
  <c r="K11" i="124"/>
  <c r="H23" i="27"/>
  <c r="C10" i="103"/>
  <c r="E20" i="138"/>
  <c r="E27" i="161"/>
  <c r="M16" i="144"/>
  <c r="I15" i="124"/>
  <c r="N15" i="124"/>
  <c r="V23" i="60"/>
  <c r="O29" i="1"/>
  <c r="C12" i="66"/>
  <c r="P15" i="162"/>
  <c r="R15" i="162"/>
  <c r="R29" i="162"/>
  <c r="Q29" i="162"/>
  <c r="E19" i="138"/>
  <c r="E15" i="123"/>
  <c r="C16" i="103"/>
  <c r="H16" i="103"/>
  <c r="J16" i="103"/>
  <c r="C25" i="124"/>
  <c r="E25" i="123"/>
  <c r="F14" i="100"/>
  <c r="E30" i="66"/>
  <c r="F30" i="66"/>
  <c r="M29" i="59"/>
  <c r="G27" i="100"/>
  <c r="G30" i="111"/>
  <c r="E23" i="66"/>
  <c r="F23" i="66"/>
  <c r="G20" i="100"/>
  <c r="D20" i="160"/>
  <c r="E20" i="160"/>
  <c r="D16" i="160"/>
  <c r="E16" i="160"/>
  <c r="G19" i="111"/>
  <c r="G36" i="111"/>
  <c r="G29" i="100"/>
  <c r="E32" i="66"/>
  <c r="F32" i="66"/>
  <c r="D29" i="160"/>
  <c r="E29" i="160"/>
  <c r="F27" i="100"/>
  <c r="C23" i="100"/>
  <c r="F23" i="100"/>
  <c r="M26" i="1"/>
  <c r="M22" i="1"/>
  <c r="C19" i="100"/>
  <c r="F19" i="100"/>
  <c r="O22" i="1"/>
  <c r="C13" i="141"/>
  <c r="V15" i="60"/>
  <c r="O17" i="158"/>
  <c r="M23" i="29"/>
  <c r="M34" i="144"/>
  <c r="P31" i="147"/>
  <c r="E31" i="147"/>
  <c r="P25" i="147"/>
  <c r="E25" i="147"/>
  <c r="K26" i="147"/>
  <c r="I26" i="147"/>
  <c r="I22" i="147"/>
  <c r="E31" i="146"/>
  <c r="P31" i="146"/>
  <c r="E15" i="146"/>
  <c r="P15" i="146"/>
  <c r="O11" i="158"/>
  <c r="F25" i="62"/>
  <c r="O25" i="62"/>
  <c r="R25" i="62"/>
  <c r="K27" i="161"/>
  <c r="T19" i="153"/>
  <c r="V19" i="153"/>
  <c r="I28" i="146"/>
  <c r="G14" i="152"/>
  <c r="G35" i="152"/>
  <c r="J31" i="29"/>
  <c r="I18" i="27"/>
  <c r="G23" i="27"/>
  <c r="G23" i="28"/>
  <c r="E13" i="146"/>
  <c r="J35" i="145"/>
  <c r="V19" i="60"/>
  <c r="N14" i="29"/>
  <c r="G13" i="100"/>
  <c r="V31" i="60"/>
  <c r="L25" i="47"/>
  <c r="E21" i="100"/>
  <c r="F21" i="100"/>
  <c r="G10" i="100"/>
  <c r="Q26" i="162"/>
  <c r="I36" i="117"/>
  <c r="G14" i="100"/>
  <c r="D25" i="160"/>
  <c r="E25" i="160"/>
  <c r="P13" i="162"/>
  <c r="D13" i="160"/>
  <c r="E13" i="160"/>
  <c r="G32" i="100"/>
  <c r="M34" i="1"/>
  <c r="E31" i="100"/>
  <c r="F31" i="100"/>
  <c r="M33" i="58"/>
  <c r="M15" i="58"/>
  <c r="M27" i="59"/>
  <c r="D25" i="100"/>
  <c r="D13" i="100"/>
  <c r="M15" i="59"/>
  <c r="E35" i="66"/>
  <c r="F35" i="66"/>
  <c r="C22" i="100"/>
  <c r="F22" i="100"/>
  <c r="M25" i="1"/>
  <c r="O25" i="1"/>
  <c r="C12" i="100"/>
  <c r="O15" i="1"/>
  <c r="O36" i="1"/>
  <c r="M15" i="1"/>
  <c r="F32" i="100"/>
  <c r="Q35" i="47"/>
  <c r="L30" i="60"/>
  <c r="L27" i="60"/>
  <c r="S27" i="88"/>
  <c r="O19" i="4"/>
  <c r="G31" i="88"/>
  <c r="C33" i="155"/>
  <c r="P38" i="88"/>
  <c r="J33" i="108"/>
  <c r="K14" i="108"/>
  <c r="K33" i="108"/>
  <c r="T32" i="144"/>
  <c r="I32" i="144"/>
  <c r="I14" i="147"/>
  <c r="E21" i="147"/>
  <c r="E19" i="147"/>
  <c r="J15" i="27"/>
  <c r="I15" i="27"/>
  <c r="I20" i="27"/>
  <c r="J19" i="29"/>
  <c r="O19" i="29"/>
  <c r="N33" i="144"/>
  <c r="J33" i="144"/>
  <c r="N15" i="144"/>
  <c r="J15" i="144"/>
  <c r="P16" i="145"/>
  <c r="P35" i="145"/>
  <c r="E16" i="145"/>
  <c r="K14" i="146"/>
  <c r="I14" i="146"/>
  <c r="I35" i="146"/>
  <c r="P18" i="157"/>
  <c r="F40" i="159"/>
  <c r="F42" i="159"/>
  <c r="J21" i="159"/>
  <c r="K33" i="158"/>
  <c r="E10" i="160"/>
  <c r="N18" i="153"/>
  <c r="N36" i="153"/>
  <c r="T18" i="153"/>
  <c r="R24" i="153"/>
  <c r="T24" i="153"/>
  <c r="V24" i="153"/>
  <c r="S20" i="161"/>
  <c r="S27" i="161"/>
  <c r="C25" i="161"/>
  <c r="I22" i="161"/>
  <c r="J23" i="161"/>
  <c r="V23" i="161"/>
  <c r="D25" i="161"/>
  <c r="D27" i="161"/>
  <c r="H25" i="96"/>
  <c r="P25" i="96"/>
  <c r="R25" i="96"/>
  <c r="P23" i="96"/>
  <c r="M31" i="58"/>
  <c r="E29" i="100"/>
  <c r="F29" i="100"/>
  <c r="M14" i="58"/>
  <c r="E12" i="100"/>
  <c r="E21" i="66"/>
  <c r="F21" i="66"/>
  <c r="G21" i="111"/>
  <c r="C25" i="100"/>
  <c r="M28" i="1"/>
  <c r="C17" i="100"/>
  <c r="F17" i="100"/>
  <c r="O20" i="1"/>
  <c r="M14" i="1"/>
  <c r="C11" i="100"/>
  <c r="F11" i="100"/>
  <c r="C11" i="141"/>
  <c r="C13" i="65"/>
  <c r="H36" i="4"/>
  <c r="F36" i="26"/>
  <c r="P12" i="162"/>
  <c r="R12" i="162"/>
  <c r="F12" i="162"/>
  <c r="L31" i="60"/>
  <c r="L32" i="47"/>
  <c r="L23" i="47"/>
  <c r="F38" i="88"/>
  <c r="G38" i="88"/>
  <c r="J33" i="105"/>
  <c r="K14" i="105"/>
  <c r="K33" i="105"/>
  <c r="O27" i="144"/>
  <c r="M27" i="144"/>
  <c r="I18" i="147"/>
  <c r="J14" i="27"/>
  <c r="I14" i="27"/>
  <c r="T32" i="29"/>
  <c r="I32" i="29"/>
  <c r="J25" i="29"/>
  <c r="O25" i="29"/>
  <c r="M25" i="29"/>
  <c r="O23" i="29"/>
  <c r="J23" i="29"/>
  <c r="J35" i="29"/>
  <c r="J18" i="29"/>
  <c r="N18" i="29"/>
  <c r="M18" i="29"/>
  <c r="O18" i="29"/>
  <c r="K27" i="145"/>
  <c r="I27" i="145"/>
  <c r="P14" i="147"/>
  <c r="P35" i="147"/>
  <c r="E14" i="147"/>
  <c r="F35" i="147"/>
  <c r="E35" i="147"/>
  <c r="K20" i="147"/>
  <c r="I20" i="147"/>
  <c r="I16" i="147"/>
  <c r="P23" i="146"/>
  <c r="E23" i="146"/>
  <c r="E20" i="146"/>
  <c r="P20" i="146"/>
  <c r="I33" i="146"/>
  <c r="K33" i="146"/>
  <c r="K18" i="146"/>
  <c r="I18" i="146"/>
  <c r="N22" i="157"/>
  <c r="P22" i="157"/>
  <c r="O22" i="157"/>
  <c r="N24" i="157"/>
  <c r="P24" i="157"/>
  <c r="N29" i="157"/>
  <c r="P29" i="157"/>
  <c r="O32" i="157"/>
  <c r="N32" i="157"/>
  <c r="M30" i="158"/>
  <c r="N30" i="158"/>
  <c r="O28" i="62"/>
  <c r="R28" i="62"/>
  <c r="F28" i="62"/>
  <c r="O26" i="62"/>
  <c r="R26" i="62"/>
  <c r="F26" i="62"/>
  <c r="O24" i="62"/>
  <c r="R24" i="62"/>
  <c r="F24" i="62"/>
  <c r="D35" i="60"/>
  <c r="G35" i="60"/>
  <c r="G37" i="60"/>
  <c r="G28" i="60"/>
  <c r="F27" i="62"/>
  <c r="L25" i="159"/>
  <c r="C48" i="159"/>
  <c r="E48" i="159"/>
  <c r="E11" i="123"/>
  <c r="J17" i="153"/>
  <c r="E35" i="152"/>
  <c r="O11" i="29"/>
  <c r="I12" i="147"/>
  <c r="J35" i="147"/>
  <c r="F35" i="146"/>
  <c r="V13" i="60"/>
  <c r="I33" i="158"/>
  <c r="N20" i="96"/>
  <c r="N21" i="96"/>
  <c r="N26" i="96"/>
  <c r="H36" i="111"/>
  <c r="M26" i="59"/>
  <c r="M13" i="1"/>
  <c r="M18" i="59"/>
  <c r="E25" i="66"/>
  <c r="F25" i="66"/>
  <c r="O31" i="1"/>
  <c r="I35" i="60"/>
  <c r="L35" i="60"/>
  <c r="F17" i="162"/>
  <c r="G31" i="100"/>
  <c r="D31" i="160"/>
  <c r="E31" i="160"/>
  <c r="D11" i="160"/>
  <c r="E11" i="160"/>
  <c r="G30" i="100"/>
  <c r="H30" i="100"/>
  <c r="D27" i="160"/>
  <c r="E27" i="160"/>
  <c r="G30" i="4"/>
  <c r="G26" i="4"/>
  <c r="G23" i="100"/>
  <c r="M30" i="58"/>
  <c r="E28" i="100"/>
  <c r="F28" i="100"/>
  <c r="M20" i="59"/>
  <c r="E29" i="66"/>
  <c r="F29" i="66"/>
  <c r="G29" i="111"/>
  <c r="C24" i="100"/>
  <c r="F24" i="100"/>
  <c r="O27" i="1"/>
  <c r="F16" i="100"/>
  <c r="C15" i="100"/>
  <c r="F15" i="100"/>
  <c r="C10" i="141"/>
  <c r="C12" i="65"/>
  <c r="F36" i="127"/>
  <c r="F36" i="117"/>
  <c r="L11" i="60"/>
  <c r="L33" i="60"/>
  <c r="L20" i="60"/>
  <c r="L11" i="47"/>
  <c r="L28" i="47"/>
  <c r="L14" i="47"/>
  <c r="S36" i="88"/>
  <c r="S32" i="88"/>
  <c r="J36" i="111"/>
  <c r="O17" i="4"/>
  <c r="G20" i="88"/>
  <c r="I33" i="108"/>
  <c r="I26" i="29"/>
  <c r="I25" i="144"/>
  <c r="T23" i="144"/>
  <c r="O21" i="144"/>
  <c r="M21" i="144"/>
  <c r="T34" i="144"/>
  <c r="I34" i="144"/>
  <c r="O28" i="157"/>
  <c r="P28" i="157"/>
  <c r="O11" i="157"/>
  <c r="N19" i="29"/>
  <c r="M19" i="29"/>
  <c r="K22" i="147"/>
  <c r="T20" i="29"/>
  <c r="I20" i="29"/>
  <c r="I12" i="29"/>
  <c r="T12" i="29"/>
  <c r="T31" i="144"/>
  <c r="I31" i="144"/>
  <c r="N28" i="144"/>
  <c r="J28" i="144"/>
  <c r="M23" i="144"/>
  <c r="O23" i="144"/>
  <c r="N17" i="144"/>
  <c r="J17" i="144"/>
  <c r="F7" i="159"/>
  <c r="I4" i="159"/>
  <c r="H4" i="159"/>
  <c r="O29" i="158"/>
  <c r="N29" i="156"/>
  <c r="U35" i="153"/>
  <c r="F23" i="153"/>
  <c r="T23" i="153"/>
  <c r="V23" i="153"/>
  <c r="U21" i="153"/>
  <c r="V21" i="153"/>
  <c r="U20" i="153"/>
  <c r="V20" i="153"/>
  <c r="F14" i="153"/>
  <c r="F36" i="153"/>
  <c r="R33" i="153"/>
  <c r="R36" i="153"/>
  <c r="T33" i="153"/>
  <c r="V33" i="153"/>
  <c r="D35" i="65"/>
  <c r="F13" i="86"/>
  <c r="F37" i="86"/>
  <c r="H37" i="86"/>
  <c r="M38" i="88"/>
  <c r="Q40" i="139"/>
  <c r="R44" i="139"/>
  <c r="I15" i="161"/>
  <c r="C20" i="161"/>
  <c r="C27" i="161"/>
  <c r="T15" i="161"/>
  <c r="T20" i="161"/>
  <c r="T27" i="161"/>
  <c r="N20" i="161"/>
  <c r="N27" i="161"/>
  <c r="F20" i="161"/>
  <c r="F27" i="161"/>
  <c r="I16" i="161"/>
  <c r="U16" i="161"/>
  <c r="V18" i="161"/>
  <c r="C25" i="86"/>
  <c r="O24" i="163"/>
  <c r="U24" i="163"/>
  <c r="C32" i="141"/>
  <c r="C30" i="141"/>
  <c r="C24" i="141"/>
  <c r="C19" i="141"/>
  <c r="S23" i="88"/>
  <c r="K12" i="121"/>
  <c r="I36" i="121"/>
  <c r="M12" i="29"/>
  <c r="O34" i="29"/>
  <c r="J34" i="29"/>
  <c r="O17" i="29"/>
  <c r="N17" i="29"/>
  <c r="M17" i="29"/>
  <c r="N19" i="144"/>
  <c r="J19" i="144"/>
  <c r="M12" i="144"/>
  <c r="I26" i="145"/>
  <c r="K26" i="145"/>
  <c r="K14" i="145"/>
  <c r="K35" i="145"/>
  <c r="K29" i="146"/>
  <c r="I29" i="146"/>
  <c r="O25" i="157"/>
  <c r="N25" i="157"/>
  <c r="P15" i="157"/>
  <c r="N10" i="158"/>
  <c r="M10" i="158"/>
  <c r="T35" i="153"/>
  <c r="V35" i="153"/>
  <c r="U13" i="153"/>
  <c r="V13" i="153"/>
  <c r="U30" i="153"/>
  <c r="V30" i="153"/>
  <c r="N30" i="153"/>
  <c r="R19" i="153"/>
  <c r="E26" i="165"/>
  <c r="C37" i="165"/>
  <c r="K38" i="164"/>
  <c r="Q14" i="164"/>
  <c r="C28" i="141"/>
  <c r="C26" i="65"/>
  <c r="C18" i="141"/>
  <c r="C15" i="141"/>
  <c r="C12" i="141"/>
  <c r="E12" i="141"/>
  <c r="E33" i="141"/>
  <c r="C14" i="65"/>
  <c r="N34" i="29"/>
  <c r="M34" i="29"/>
  <c r="E25" i="145"/>
  <c r="K23" i="27"/>
  <c r="N28" i="29"/>
  <c r="O28" i="29"/>
  <c r="J29" i="144"/>
  <c r="N29" i="144"/>
  <c r="K27" i="146"/>
  <c r="I27" i="146"/>
  <c r="I24" i="146"/>
  <c r="N21" i="157"/>
  <c r="P21" i="157"/>
  <c r="P20" i="157"/>
  <c r="H63" i="157"/>
  <c r="S27" i="157"/>
  <c r="C33" i="159"/>
  <c r="C35" i="159"/>
  <c r="G7" i="159"/>
  <c r="O26" i="158"/>
  <c r="M28" i="158"/>
  <c r="O28" i="158"/>
  <c r="M22" i="158"/>
  <c r="O22" i="158"/>
  <c r="N22" i="158"/>
  <c r="P27" i="157"/>
  <c r="U28" i="153"/>
  <c r="V28" i="153"/>
  <c r="G18" i="152"/>
  <c r="F31" i="153"/>
  <c r="T31" i="153"/>
  <c r="V31" i="153"/>
  <c r="I24" i="145"/>
  <c r="N13" i="157"/>
  <c r="P13" i="157"/>
  <c r="M23" i="158"/>
  <c r="O23" i="158"/>
  <c r="M19" i="158"/>
  <c r="O19" i="158"/>
  <c r="G30" i="152"/>
  <c r="U27" i="153"/>
  <c r="V27" i="153"/>
  <c r="U24" i="153"/>
  <c r="N31" i="153"/>
  <c r="N26" i="153"/>
  <c r="V15" i="161"/>
  <c r="S17" i="161"/>
  <c r="V17" i="161"/>
  <c r="M20" i="161"/>
  <c r="M27" i="161"/>
  <c r="Q36" i="164"/>
  <c r="AB41" i="16"/>
  <c r="AB45" i="16"/>
  <c r="AB49" i="16"/>
  <c r="AB53" i="16"/>
  <c r="AB57" i="16"/>
  <c r="F13" i="62"/>
  <c r="O13" i="62"/>
  <c r="H33" i="105"/>
  <c r="J13" i="144"/>
  <c r="P18" i="146"/>
  <c r="P34" i="146"/>
  <c r="I20" i="145"/>
  <c r="I21" i="146"/>
  <c r="N9" i="157"/>
  <c r="N30" i="157"/>
  <c r="P30" i="157"/>
  <c r="P12" i="157"/>
  <c r="M31" i="158"/>
  <c r="O31" i="158"/>
  <c r="M11" i="158"/>
  <c r="J12" i="153"/>
  <c r="U32" i="153"/>
  <c r="V32" i="153"/>
  <c r="J21" i="153"/>
  <c r="N21" i="153"/>
  <c r="U38" i="88"/>
  <c r="V14" i="88"/>
  <c r="V38" i="88"/>
  <c r="P63" i="16"/>
  <c r="AB63" i="16"/>
  <c r="AB40" i="16"/>
  <c r="AB43" i="16"/>
  <c r="AB44" i="16"/>
  <c r="AB47" i="16"/>
  <c r="AB48" i="16"/>
  <c r="AB51" i="16"/>
  <c r="AB52" i="16"/>
  <c r="AB55" i="16"/>
  <c r="AB56" i="16"/>
  <c r="AB60" i="16"/>
  <c r="O19" i="62"/>
  <c r="R19" i="62"/>
  <c r="F19" i="62"/>
  <c r="F15" i="62"/>
  <c r="O14" i="62"/>
  <c r="R14" i="62"/>
  <c r="F14" i="62"/>
  <c r="J22" i="161"/>
  <c r="O22" i="163"/>
  <c r="C23" i="86"/>
  <c r="E18" i="164"/>
  <c r="E27" i="164"/>
  <c r="E35" i="164"/>
  <c r="E25" i="165"/>
  <c r="E31" i="165"/>
  <c r="AB12" i="16"/>
  <c r="AB31" i="16"/>
  <c r="AB22" i="16"/>
  <c r="AB13" i="16"/>
  <c r="R30" i="62"/>
  <c r="U25" i="163"/>
  <c r="O25" i="163"/>
  <c r="E16" i="165"/>
  <c r="E37" i="165"/>
  <c r="E29" i="165"/>
  <c r="N36" i="16"/>
  <c r="AB36" i="16"/>
  <c r="AB29" i="16"/>
  <c r="AB20" i="16"/>
  <c r="AB15" i="16"/>
  <c r="AB39" i="16"/>
  <c r="C37" i="86"/>
  <c r="O23" i="62"/>
  <c r="R23" i="62"/>
  <c r="Q15" i="162"/>
  <c r="G36" i="4"/>
  <c r="C28" i="142"/>
  <c r="H28" i="100"/>
  <c r="V20" i="161"/>
  <c r="M29" i="144"/>
  <c r="O29" i="144"/>
  <c r="D32" i="159"/>
  <c r="D35" i="159"/>
  <c r="H32" i="159"/>
  <c r="H7" i="159"/>
  <c r="O17" i="144"/>
  <c r="M17" i="144"/>
  <c r="M28" i="144"/>
  <c r="O28" i="144"/>
  <c r="C24" i="142"/>
  <c r="H24" i="100"/>
  <c r="O35" i="29"/>
  <c r="C17" i="142"/>
  <c r="H17" i="100"/>
  <c r="V18" i="153"/>
  <c r="V36" i="153"/>
  <c r="T36" i="153"/>
  <c r="I33" i="144"/>
  <c r="T33" i="144"/>
  <c r="C22" i="142"/>
  <c r="H22" i="100"/>
  <c r="C31" i="142"/>
  <c r="H31" i="100"/>
  <c r="R13" i="162"/>
  <c r="Q13" i="162"/>
  <c r="C19" i="142"/>
  <c r="H19" i="100"/>
  <c r="C27" i="142"/>
  <c r="H27" i="100"/>
  <c r="C9" i="142"/>
  <c r="H9" i="100"/>
  <c r="R16" i="96"/>
  <c r="R21" i="96"/>
  <c r="R26" i="96"/>
  <c r="F28" i="96"/>
  <c r="J21" i="96"/>
  <c r="J26" i="96"/>
  <c r="U36" i="153"/>
  <c r="E21" i="84"/>
  <c r="J21" i="84"/>
  <c r="E23" i="138"/>
  <c r="E19" i="123"/>
  <c r="C19" i="124"/>
  <c r="J19" i="124"/>
  <c r="C20" i="103"/>
  <c r="H20" i="103"/>
  <c r="J20" i="103"/>
  <c r="E36" i="66"/>
  <c r="J9" i="124"/>
  <c r="J11" i="84"/>
  <c r="E38" i="164"/>
  <c r="T29" i="144"/>
  <c r="I29" i="144"/>
  <c r="Q38" i="164"/>
  <c r="P25" i="157"/>
  <c r="I14" i="145"/>
  <c r="I35" i="145"/>
  <c r="I20" i="161"/>
  <c r="I27" i="161"/>
  <c r="U15" i="161"/>
  <c r="U20" i="161"/>
  <c r="E32" i="159"/>
  <c r="E35" i="159"/>
  <c r="I7" i="159"/>
  <c r="P11" i="157"/>
  <c r="O33" i="157"/>
  <c r="C15" i="142"/>
  <c r="H15" i="100"/>
  <c r="C32" i="103"/>
  <c r="H32" i="103"/>
  <c r="J32" i="103"/>
  <c r="E35" i="138"/>
  <c r="E33" i="84"/>
  <c r="J33" i="84"/>
  <c r="C31" i="124"/>
  <c r="J31" i="124"/>
  <c r="E31" i="123"/>
  <c r="P32" i="157"/>
  <c r="I18" i="29"/>
  <c r="I35" i="29"/>
  <c r="T18" i="29"/>
  <c r="I25" i="29"/>
  <c r="T25" i="29"/>
  <c r="C11" i="142"/>
  <c r="H11" i="100"/>
  <c r="E33" i="100"/>
  <c r="R23" i="96"/>
  <c r="T23" i="96"/>
  <c r="T15" i="144"/>
  <c r="I15" i="144"/>
  <c r="O33" i="144"/>
  <c r="M33" i="144"/>
  <c r="F12" i="100"/>
  <c r="E10" i="123"/>
  <c r="C10" i="124"/>
  <c r="J10" i="124"/>
  <c r="G33" i="100"/>
  <c r="H10" i="100"/>
  <c r="E14" i="138"/>
  <c r="C11" i="103"/>
  <c r="H11" i="103"/>
  <c r="J11" i="103"/>
  <c r="E12" i="84"/>
  <c r="J12" i="84"/>
  <c r="C14" i="103"/>
  <c r="H14" i="103"/>
  <c r="J14" i="103"/>
  <c r="C13" i="124"/>
  <c r="E15" i="84"/>
  <c r="J15" i="84"/>
  <c r="E17" i="138"/>
  <c r="E13" i="123"/>
  <c r="E35" i="146"/>
  <c r="T31" i="29"/>
  <c r="I31" i="29"/>
  <c r="C14" i="142"/>
  <c r="H14" i="100"/>
  <c r="H10" i="103"/>
  <c r="C33" i="100"/>
  <c r="W15" i="161"/>
  <c r="W20" i="161"/>
  <c r="W27" i="161"/>
  <c r="T20" i="96"/>
  <c r="P21" i="96"/>
  <c r="P26" i="96"/>
  <c r="R20" i="96"/>
  <c r="J25" i="161"/>
  <c r="J27" i="161"/>
  <c r="V22" i="161"/>
  <c r="V25" i="161"/>
  <c r="I13" i="144"/>
  <c r="T13" i="144"/>
  <c r="T35" i="144"/>
  <c r="J36" i="153"/>
  <c r="O35" i="62"/>
  <c r="R35" i="62"/>
  <c r="R13" i="62"/>
  <c r="M33" i="158"/>
  <c r="T27" i="157"/>
  <c r="I19" i="144"/>
  <c r="T19" i="144"/>
  <c r="T34" i="29"/>
  <c r="I34" i="29"/>
  <c r="C16" i="142"/>
  <c r="H16" i="100"/>
  <c r="E27" i="138"/>
  <c r="C23" i="124"/>
  <c r="J23" i="124"/>
  <c r="E23" i="123"/>
  <c r="E25" i="84"/>
  <c r="J25" i="84"/>
  <c r="C24" i="103"/>
  <c r="H24" i="103"/>
  <c r="J24" i="103"/>
  <c r="C30" i="124"/>
  <c r="J30" i="124"/>
  <c r="E32" i="84"/>
  <c r="J32" i="84"/>
  <c r="E30" i="123"/>
  <c r="E34" i="138"/>
  <c r="C31" i="103"/>
  <c r="H31" i="103"/>
  <c r="J31" i="103"/>
  <c r="G17" i="162"/>
  <c r="Q17" i="162"/>
  <c r="C28" i="65"/>
  <c r="C26" i="141"/>
  <c r="C33" i="141"/>
  <c r="V28" i="60"/>
  <c r="I23" i="29"/>
  <c r="T23" i="29"/>
  <c r="F25" i="100"/>
  <c r="I25" i="161"/>
  <c r="U22" i="161"/>
  <c r="U25" i="161"/>
  <c r="K21" i="159"/>
  <c r="K19" i="159"/>
  <c r="G40" i="159"/>
  <c r="G42" i="159"/>
  <c r="L19" i="159"/>
  <c r="K35" i="146"/>
  <c r="M15" i="144"/>
  <c r="O15" i="144"/>
  <c r="N35" i="144"/>
  <c r="C32" i="142"/>
  <c r="H32" i="100"/>
  <c r="M35" i="59"/>
  <c r="E36" i="138"/>
  <c r="C33" i="103"/>
  <c r="H33" i="103"/>
  <c r="J33" i="103"/>
  <c r="E32" i="123"/>
  <c r="C32" i="124"/>
  <c r="E34" i="84"/>
  <c r="J34" i="84"/>
  <c r="E18" i="138"/>
  <c r="C15" i="103"/>
  <c r="H15" i="103"/>
  <c r="J15" i="103"/>
  <c r="C14" i="124"/>
  <c r="E14" i="123"/>
  <c r="C21" i="142"/>
  <c r="H21" i="100"/>
  <c r="M14" i="29"/>
  <c r="N35" i="29"/>
  <c r="P35" i="146"/>
  <c r="C27" i="124"/>
  <c r="E31" i="138"/>
  <c r="E27" i="123"/>
  <c r="E29" i="84"/>
  <c r="J29" i="84"/>
  <c r="C28" i="103"/>
  <c r="H28" i="103"/>
  <c r="J28" i="103"/>
  <c r="D12" i="66"/>
  <c r="D36" i="66"/>
  <c r="C36" i="66"/>
  <c r="K35" i="147"/>
  <c r="O21" i="96"/>
  <c r="O26" i="96"/>
  <c r="S16" i="96"/>
  <c r="J23" i="27"/>
  <c r="Q28" i="162"/>
  <c r="G28" i="162"/>
  <c r="D33" i="160"/>
  <c r="E9" i="160"/>
  <c r="E33" i="160"/>
  <c r="F18" i="124"/>
  <c r="J18" i="124"/>
  <c r="M11" i="29"/>
  <c r="M35" i="29"/>
  <c r="H26" i="96"/>
  <c r="I23" i="28"/>
  <c r="J11" i="28"/>
  <c r="J23" i="28"/>
  <c r="O36" i="163"/>
  <c r="P9" i="157"/>
  <c r="N33" i="157"/>
  <c r="K7" i="159"/>
  <c r="K4" i="159"/>
  <c r="G32" i="159"/>
  <c r="G35" i="159"/>
  <c r="L4" i="159"/>
  <c r="C47" i="159"/>
  <c r="M28" i="29"/>
  <c r="N33" i="158"/>
  <c r="O19" i="144"/>
  <c r="M19" i="144"/>
  <c r="S38" i="88"/>
  <c r="I17" i="144"/>
  <c r="T17" i="144"/>
  <c r="I28" i="144"/>
  <c r="I35" i="144"/>
  <c r="T28" i="144"/>
  <c r="I35" i="147"/>
  <c r="O30" i="158"/>
  <c r="G12" i="162"/>
  <c r="F36" i="162"/>
  <c r="Q36" i="162"/>
  <c r="Q12" i="162"/>
  <c r="C29" i="142"/>
  <c r="H29" i="100"/>
  <c r="H40" i="159"/>
  <c r="E35" i="145"/>
  <c r="T19" i="29"/>
  <c r="T35" i="29"/>
  <c r="I19" i="29"/>
  <c r="F13" i="100"/>
  <c r="D33" i="100"/>
  <c r="O10" i="158"/>
  <c r="O33" i="158"/>
  <c r="C23" i="142"/>
  <c r="H23" i="100"/>
  <c r="C29" i="124"/>
  <c r="E31" i="84"/>
  <c r="J31" i="84"/>
  <c r="E29" i="123"/>
  <c r="C30" i="103"/>
  <c r="H30" i="103"/>
  <c r="J30" i="103"/>
  <c r="E33" i="138"/>
  <c r="E20" i="123"/>
  <c r="E22" i="84"/>
  <c r="J22" i="84"/>
  <c r="E24" i="138"/>
  <c r="C20" i="124"/>
  <c r="C21" i="103"/>
  <c r="H21" i="103"/>
  <c r="J21" i="103"/>
  <c r="J25" i="124"/>
  <c r="F25" i="124"/>
  <c r="J35" i="144"/>
  <c r="C23" i="103"/>
  <c r="H23" i="103"/>
  <c r="J23" i="103"/>
  <c r="E26" i="138"/>
  <c r="E22" i="123"/>
  <c r="C22" i="124"/>
  <c r="E24" i="84"/>
  <c r="J24" i="84"/>
  <c r="C26" i="124"/>
  <c r="J26" i="124"/>
  <c r="E26" i="123"/>
  <c r="E28" i="84"/>
  <c r="J28" i="84"/>
  <c r="C27" i="103"/>
  <c r="H27" i="103"/>
  <c r="J27" i="103"/>
  <c r="E30" i="138"/>
  <c r="I23" i="27"/>
  <c r="C35" i="65"/>
  <c r="E12" i="123"/>
  <c r="E33" i="123"/>
  <c r="E14" i="84"/>
  <c r="J14" i="84"/>
  <c r="C13" i="103"/>
  <c r="H13" i="103"/>
  <c r="J13" i="103"/>
  <c r="C12" i="124"/>
  <c r="J12" i="124"/>
  <c r="E16" i="138"/>
  <c r="E37" i="138"/>
  <c r="K17" i="124"/>
  <c r="N17" i="124"/>
  <c r="I17" i="124"/>
  <c r="F36" i="66"/>
  <c r="C26" i="142"/>
  <c r="H26" i="100"/>
  <c r="K16" i="124"/>
  <c r="N16" i="124"/>
  <c r="I16" i="124"/>
  <c r="M35" i="144"/>
  <c r="C25" i="142"/>
  <c r="H25" i="100"/>
  <c r="K23" i="124"/>
  <c r="N23" i="124"/>
  <c r="I23" i="124"/>
  <c r="I12" i="124"/>
  <c r="K12" i="124"/>
  <c r="N12" i="124"/>
  <c r="F22" i="124"/>
  <c r="J22" i="124"/>
  <c r="J20" i="124"/>
  <c r="F20" i="124"/>
  <c r="J29" i="124"/>
  <c r="F29" i="124"/>
  <c r="V16" i="96"/>
  <c r="S21" i="96"/>
  <c r="S26" i="96"/>
  <c r="F14" i="124"/>
  <c r="J14" i="124"/>
  <c r="J32" i="124"/>
  <c r="F32" i="124"/>
  <c r="O35" i="144"/>
  <c r="T21" i="96"/>
  <c r="V20" i="96"/>
  <c r="C34" i="103"/>
  <c r="L34" i="103"/>
  <c r="K10" i="124"/>
  <c r="I10" i="124"/>
  <c r="N10" i="124"/>
  <c r="U27" i="161"/>
  <c r="E35" i="84"/>
  <c r="E47" i="159"/>
  <c r="C49" i="159"/>
  <c r="E49" i="159"/>
  <c r="K30" i="124"/>
  <c r="I30" i="124"/>
  <c r="N30" i="124"/>
  <c r="H34" i="103"/>
  <c r="J10" i="103"/>
  <c r="T25" i="96"/>
  <c r="V23" i="96"/>
  <c r="V25" i="96"/>
  <c r="C33" i="124"/>
  <c r="C13" i="142"/>
  <c r="H13" i="100"/>
  <c r="I18" i="124"/>
  <c r="N18" i="124"/>
  <c r="K18" i="124"/>
  <c r="J27" i="124"/>
  <c r="F27" i="124"/>
  <c r="J13" i="124"/>
  <c r="F13" i="124"/>
  <c r="F33" i="124"/>
  <c r="J35" i="84"/>
  <c r="V27" i="161"/>
  <c r="K26" i="124"/>
  <c r="I26" i="124"/>
  <c r="N26" i="124"/>
  <c r="N25" i="124"/>
  <c r="K25" i="124"/>
  <c r="I25" i="124"/>
  <c r="G36" i="162"/>
  <c r="P33" i="157"/>
  <c r="R27" i="157"/>
  <c r="R29" i="157"/>
  <c r="H12" i="100"/>
  <c r="H33" i="100"/>
  <c r="C12" i="142"/>
  <c r="C33" i="142"/>
  <c r="N31" i="124"/>
  <c r="K31" i="124"/>
  <c r="I31" i="124"/>
  <c r="N9" i="124"/>
  <c r="K9" i="124"/>
  <c r="I9" i="124"/>
  <c r="I19" i="124"/>
  <c r="K19" i="124"/>
  <c r="N19" i="124"/>
  <c r="F33" i="100"/>
  <c r="T26" i="96"/>
  <c r="N14" i="124"/>
  <c r="K14" i="124"/>
  <c r="K33" i="124"/>
  <c r="I14" i="124"/>
  <c r="I22" i="124"/>
  <c r="N22" i="124"/>
  <c r="K22" i="124"/>
  <c r="J33" i="124"/>
  <c r="K13" i="124"/>
  <c r="N13" i="124"/>
  <c r="I13" i="124"/>
  <c r="N29" i="124"/>
  <c r="N33" i="124"/>
  <c r="I29" i="124"/>
  <c r="K29" i="124"/>
  <c r="I33" i="124"/>
  <c r="N27" i="124"/>
  <c r="I27" i="124"/>
  <c r="K27" i="124"/>
  <c r="N32" i="124"/>
  <c r="K32" i="124"/>
  <c r="I32" i="124"/>
  <c r="V21" i="96"/>
  <c r="V26" i="96"/>
  <c r="I20" i="124"/>
  <c r="N20" i="124"/>
  <c r="K20" i="124"/>
</calcChain>
</file>

<file path=xl/sharedStrings.xml><?xml version="1.0" encoding="utf-8"?>
<sst xmlns="http://schemas.openxmlformats.org/spreadsheetml/2006/main" count="4415" uniqueCount="1121">
  <si>
    <t>[Mid-Day Meal Scheme]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</si>
  <si>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</si>
  <si>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</si>
  <si>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</si>
  <si>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</si>
  <si>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</si>
  <si>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</si>
  <si>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</si>
  <si>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</si>
  <si>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</si>
  <si>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</si>
  <si>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</si>
  <si>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</si>
  <si>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</si>
  <si>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</si>
  <si>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</si>
  <si>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</si>
  <si>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</si>
  <si>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</si>
  <si>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</si>
  <si>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</si>
  <si>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</si>
  <si>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</si>
  <si>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</si>
  <si>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</si>
  <si>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</si>
  <si>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</si>
  <si>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</si>
  <si>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</si>
  <si>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</si>
  <si>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</si>
  <si>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</si>
  <si>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</si>
  <si>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</si>
  <si>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</si>
  <si>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</si>
  <si>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</si>
  <si>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</si>
  <si>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</si>
  <si>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</si>
  <si>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</si>
  <si>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</si>
  <si>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</si>
  <si>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</si>
  <si>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</si>
  <si>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</si>
  <si>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</si>
  <si>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</si>
  <si>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</si>
  <si>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</si>
  <si>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</si>
  <si>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</si>
  <si>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</si>
  <si>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</si>
  <si>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</si>
  <si>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</si>
  <si>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</si>
  <si>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</si>
  <si>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</si>
  <si>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</si>
  <si>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</si>
  <si>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</si>
  <si>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</si>
  <si>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</si>
  <si>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</si>
  <si>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</si>
  <si>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</si>
  <si>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</si>
  <si>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</si>
  <si>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</si>
  <si>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</si>
  <si>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</si>
  <si>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</si>
  <si>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</si>
  <si>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</si>
  <si>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</si>
  <si>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</si>
  <si>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</si>
  <si>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</si>
  <si>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</si>
  <si>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</si>
  <si>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</si>
  <si>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</si>
  <si>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</si>
  <si>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</si>
  <si>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</si>
  <si>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</si>
  <si>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</si>
  <si>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</si>
  <si>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</si>
  <si>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</si>
  <si>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</si>
  <si>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</si>
  <si>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</si>
  <si>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</si>
  <si>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</si>
  <si>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</si>
  <si>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</si>
  <si>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</si>
  <si>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</si>
  <si>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</si>
  <si>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</si>
  <si>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</si>
  <si>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</si>
  <si>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</si>
  <si>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</si>
  <si>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</si>
  <si>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</si>
  <si>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</si>
  <si>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</si>
  <si>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</si>
  <si>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</si>
  <si>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</si>
  <si>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</si>
  <si>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</si>
  <si>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</si>
  <si>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</si>
  <si>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</si>
  <si>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</si>
  <si>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</si>
  <si>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</si>
  <si>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</si>
  <si>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</si>
  <si>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</si>
  <si>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</si>
  <si>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</si>
  <si>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</si>
  <si>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</si>
  <si>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</si>
  <si>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</si>
  <si>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</si>
  <si>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</si>
  <si>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</si>
  <si>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</si>
  <si>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</si>
  <si>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</si>
  <si>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</si>
  <si>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</si>
  <si>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</si>
  <si>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</si>
  <si>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</si>
  <si>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</si>
  <si>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</si>
  <si>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</si>
  <si>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</si>
  <si>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</si>
  <si>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</si>
  <si>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</si>
  <si>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</si>
  <si>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</si>
  <si>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</si>
  <si>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</si>
  <si>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</si>
  <si>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</si>
  <si>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</si>
  <si>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</si>
  <si>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</si>
  <si>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</si>
  <si>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</si>
  <si>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</si>
  <si>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</si>
  <si>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</si>
  <si>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</si>
  <si>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</si>
  <si>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</si>
  <si>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</si>
  <si>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</si>
  <si>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</si>
  <si>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</si>
  <si>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</si>
  <si>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</si>
  <si>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</si>
  <si>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</si>
  <si>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</si>
  <si>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</si>
  <si>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</si>
  <si>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</si>
  <si>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</si>
  <si>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</si>
  <si>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</si>
  <si>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</si>
  <si>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</si>
  <si>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</si>
  <si>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</si>
  <si>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</si>
  <si>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</si>
  <si>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</si>
  <si>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</si>
  <si>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</si>
  <si>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</si>
  <si>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</si>
  <si>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</si>
  <si>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</si>
  <si>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</si>
  <si>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</si>
  <si>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</si>
  <si>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</si>
  <si>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</si>
  <si>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</si>
  <si>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</si>
  <si>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</si>
  <si>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</si>
  <si>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</si>
  <si>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</si>
  <si>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</si>
  <si>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</si>
  <si>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</si>
  <si>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</si>
  <si>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</si>
  <si>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</si>
  <si>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</si>
  <si>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</si>
  <si>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</si>
  <si>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</si>
  <si>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</si>
  <si>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</si>
  <si>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</si>
  <si>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</si>
  <si>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</si>
  <si>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</si>
  <si>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</si>
  <si>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</si>
  <si>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</si>
  <si>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</si>
  <si>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</si>
  <si>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</si>
  <si>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</si>
  <si>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</si>
  <si>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</si>
  <si>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</si>
  <si>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</si>
  <si>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</si>
  <si>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</si>
  <si>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</si>
  <si>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</si>
  <si>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</si>
  <si>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</si>
  <si>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</si>
  <si>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</si>
  <si>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</si>
  <si>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</si>
  <si>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</si>
  <si>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</si>
  <si>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</si>
  <si>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</si>
  <si>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</si>
  <si>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</si>
  <si>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</si>
  <si>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</si>
  <si>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</si>
  <si>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</si>
  <si>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</si>
  <si>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</si>
  <si>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</si>
  <si>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</si>
  <si>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</si>
  <si>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</si>
  <si>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</si>
  <si>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</si>
  <si>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</si>
  <si>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</si>
  <si>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</si>
  <si>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</si>
  <si>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</si>
  <si>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</si>
  <si>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</si>
  <si>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</si>
  <si>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</si>
  <si>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</si>
  <si>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</si>
  <si>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</si>
  <si>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</si>
  <si>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</si>
  <si>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</si>
  <si>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</si>
  <si>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</si>
  <si>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</si>
  <si>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</si>
  <si>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</si>
  <si>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</si>
  <si>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</si>
  <si>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</si>
  <si>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</si>
  <si>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</si>
  <si>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</si>
  <si>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</si>
  <si>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</si>
  <si>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</si>
  <si>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</si>
  <si>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</si>
  <si>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</si>
  <si>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</si>
  <si>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</si>
  <si>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</si>
  <si>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</si>
  <si>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</si>
  <si>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</si>
  <si>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</si>
  <si>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</si>
  <si>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</si>
  <si>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</si>
  <si>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</si>
  <si>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</si>
  <si>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</si>
  <si>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</si>
  <si>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</si>
  <si>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</si>
  <si>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</si>
  <si>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</si>
  <si>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</si>
  <si>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</si>
  <si>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</si>
  <si>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</si>
  <si>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</si>
  <si>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</si>
  <si>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</si>
  <si>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</si>
  <si>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</si>
  <si>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</si>
  <si>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</si>
  <si>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</si>
  <si>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</si>
  <si>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</si>
  <si>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</si>
  <si>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</si>
  <si>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</si>
  <si>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</si>
  <si>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</si>
  <si>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</si>
  <si>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</si>
  <si>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</si>
  <si>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</si>
  <si>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</si>
  <si>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</si>
  <si>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</si>
  <si>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</si>
  <si>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</si>
  <si>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</si>
  <si>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</si>
  <si>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</si>
  <si>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</si>
  <si>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</si>
  <si>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</si>
  <si>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</si>
  <si>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</si>
  <si>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</si>
  <si>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</si>
  <si>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</si>
  <si>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</si>
  <si>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</si>
  <si>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</si>
  <si>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</si>
  <si>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</si>
  <si>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</si>
  <si>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</si>
  <si>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</si>
  <si>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</si>
  <si>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</si>
  <si>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</si>
  <si>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</si>
  <si>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</si>
  <si>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</si>
  <si>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</si>
  <si>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</si>
  <si>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</si>
  <si>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</si>
  <si>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</si>
  <si>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</si>
  <si>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</si>
  <si>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</si>
  <si>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</si>
  <si>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</si>
  <si>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</si>
  <si>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</si>
  <si>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</si>
  <si>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</si>
  <si>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</si>
  <si>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</si>
  <si>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</si>
  <si>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</si>
  <si>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</si>
  <si>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</si>
  <si>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</si>
  <si>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</si>
  <si>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</si>
  <si>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</si>
  <si>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</si>
  <si>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</si>
  <si>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</si>
  <si>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</si>
  <si>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</si>
  <si>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</si>
  <si>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</si>
  <si>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</si>
  <si>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</si>
  <si>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</si>
  <si>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</si>
  <si>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</si>
  <si>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</si>
  <si>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</si>
  <si>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</si>
  <si>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</si>
  <si>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</si>
  <si>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</si>
  <si>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</si>
  <si>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</si>
  <si>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</si>
  <si>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</si>
  <si>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</si>
  <si>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</si>
  <si>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</si>
  <si>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</si>
  <si>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</si>
  <si>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</si>
  <si>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</si>
  <si>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</si>
  <si>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</si>
  <si>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</si>
  <si>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</si>
  <si>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</si>
  <si>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</si>
  <si>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</si>
  <si>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</si>
  <si>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</si>
  <si>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</si>
  <si>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</si>
  <si>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</si>
  <si>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</si>
  <si>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</si>
  <si>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</si>
  <si>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</si>
  <si>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</si>
  <si>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</si>
  <si>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</si>
  <si>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</si>
  <si>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</si>
  <si>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</si>
  <si>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</si>
  <si>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</si>
  <si>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</si>
  <si>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</si>
  <si>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</si>
  <si>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</si>
  <si>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</si>
  <si>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</si>
  <si>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</si>
  <si>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</si>
  <si>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</si>
  <si>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</si>
  <si>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</si>
  <si>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</si>
  <si>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</si>
  <si>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</si>
  <si>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</si>
  <si>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</si>
  <si>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</si>
  <si>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</si>
  <si>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</si>
  <si>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</si>
  <si>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</si>
  <si>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</si>
  <si>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</si>
  <si>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</si>
  <si>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</si>
  <si>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</si>
  <si>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</si>
  <si>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</si>
  <si>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</si>
  <si>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</si>
  <si>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</si>
  <si>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</si>
  <si>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</si>
  <si>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</si>
  <si>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</si>
  <si>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</si>
  <si>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</si>
  <si>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</si>
  <si>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</si>
  <si>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</si>
  <si>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</si>
  <si>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</si>
  <si>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</si>
  <si>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</si>
  <si>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</si>
  <si>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</si>
  <si>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</si>
  <si>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</si>
  <si>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</si>
  <si>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</si>
  <si>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</si>
  <si>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</si>
  <si>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</si>
  <si>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</si>
  <si>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</si>
  <si>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</si>
  <si>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</si>
  <si>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</si>
  <si>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</si>
  <si>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</si>
  <si>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</si>
  <si>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</si>
  <si>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</si>
  <si>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</si>
  <si>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</si>
  <si>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</si>
  <si>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</si>
  <si>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</si>
  <si>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</si>
  <si>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</si>
  <si>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</si>
  <si>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</si>
  <si>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</si>
  <si>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</si>
  <si>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</si>
  <si>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</si>
  <si>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</si>
  <si>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</si>
  <si>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</si>
  <si>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</si>
  <si>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</si>
  <si>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</si>
  <si>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</si>
  <si>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</si>
  <si>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</si>
  <si>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</si>
  <si>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</si>
  <si>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</si>
  <si>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</si>
  <si>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</si>
  <si>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</si>
  <si>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</si>
  <si>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</si>
  <si>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</si>
  <si>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</si>
  <si>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</si>
  <si>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</si>
  <si>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</si>
  <si>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</si>
  <si>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</si>
  <si>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</si>
  <si>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</si>
  <si>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</si>
  <si>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</si>
  <si>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</si>
  <si>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</si>
  <si>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</si>
  <si>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</si>
  <si>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</si>
  <si>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</si>
  <si>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</si>
  <si>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</si>
  <si>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</si>
  <si>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</si>
  <si>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</si>
  <si>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</si>
  <si>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</si>
  <si>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</si>
  <si>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</si>
  <si>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</si>
  <si>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</si>
  <si>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</si>
  <si>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</si>
  <si>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</si>
  <si>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</si>
  <si>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</si>
  <si>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</si>
  <si>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</si>
  <si>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</si>
  <si>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</si>
  <si>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</si>
  <si>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</si>
  <si>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</si>
  <si>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</si>
  <si>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</si>
  <si>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</si>
  <si>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</si>
  <si>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</si>
  <si>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</si>
  <si>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</si>
  <si>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</si>
  <si>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</si>
  <si>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</si>
  <si>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</si>
  <si>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</si>
  <si>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</si>
  <si>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</si>
  <si>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</si>
  <si>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</si>
  <si>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</si>
  <si>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</si>
  <si>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</si>
  <si>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</si>
  <si>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</si>
  <si>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</si>
  <si>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</si>
  <si>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</si>
  <si>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</si>
  <si>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</si>
  <si>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</si>
  <si>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</si>
  <si>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</si>
  <si>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</si>
  <si>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</si>
  <si>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</si>
  <si>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</si>
  <si>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</si>
  <si>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</si>
  <si>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</si>
  <si>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</si>
  <si>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</si>
  <si>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</si>
  <si>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</si>
  <si>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</si>
  <si>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</si>
  <si>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</si>
  <si>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</si>
  <si>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</si>
  <si>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</si>
  <si>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</si>
  <si>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</si>
  <si>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</si>
  <si>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</si>
  <si>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</si>
  <si>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</si>
  <si>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</si>
  <si>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</si>
  <si>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</si>
  <si>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</si>
  <si>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</si>
  <si>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</si>
  <si>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</si>
  <si>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</si>
  <si>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</si>
  <si>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</si>
  <si>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</si>
  <si>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</si>
  <si>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</si>
  <si>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</si>
  <si>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</si>
  <si>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</si>
  <si>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</si>
  <si>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</si>
  <si>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</si>
  <si>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</si>
  <si>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</si>
  <si>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</si>
  <si>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</si>
  <si>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</si>
  <si>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</si>
  <si>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</si>
  <si>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</si>
  <si>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</si>
  <si>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</si>
  <si>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</si>
  <si>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</si>
  <si>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</si>
  <si>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</si>
  <si>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</si>
  <si>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</si>
  <si>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</si>
  <si>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</si>
  <si>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</si>
  <si>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</si>
  <si>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</si>
  <si>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</si>
  <si>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</si>
  <si>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</si>
  <si>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</si>
  <si>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</si>
  <si>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</si>
  <si>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</si>
  <si>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</si>
  <si>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</si>
  <si>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</si>
  <si>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</si>
  <si>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</si>
  <si>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</si>
  <si>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</si>
  <si>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</si>
  <si>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</si>
  <si>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</si>
  <si>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</si>
  <si>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</si>
  <si>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</si>
  <si>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</si>
  <si>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</si>
  <si>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</si>
  <si>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</si>
  <si>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</si>
  <si>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</si>
  <si>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</si>
  <si>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</si>
  <si>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</si>
  <si>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</si>
  <si>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</si>
  <si>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</si>
  <si>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</si>
  <si>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</si>
  <si>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</si>
  <si>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</si>
  <si>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</si>
  <si>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</si>
  <si>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</si>
  <si>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</si>
  <si>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</si>
  <si>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</si>
  <si>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</si>
  <si>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</si>
  <si>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</si>
  <si>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</si>
  <si>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</si>
  <si>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</si>
  <si>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</si>
  <si>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</si>
  <si>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</si>
  <si>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</si>
  <si>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</si>
  <si>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</si>
  <si>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</si>
  <si>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</si>
  <si>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</si>
  <si>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</si>
  <si>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</si>
  <si>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</si>
  <si>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</si>
  <si>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</si>
  <si>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</si>
  <si>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</si>
  <si>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</si>
  <si>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</si>
  <si>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</si>
  <si>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</si>
  <si>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</si>
  <si>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</si>
  <si>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</si>
  <si>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</si>
  <si>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</si>
  <si>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</si>
  <si>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</si>
  <si>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</si>
  <si>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</si>
  <si>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</si>
  <si>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</si>
  <si>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</si>
  <si>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</si>
  <si>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</si>
  <si>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</si>
  <si>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</si>
  <si>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</si>
  <si>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</si>
  <si>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</si>
  <si>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</si>
  <si>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</si>
  <si>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</si>
  <si>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</si>
  <si>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</si>
  <si>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</si>
  <si>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</si>
  <si>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</si>
  <si>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</si>
  <si>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</si>
  <si>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</si>
  <si>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</si>
  <si>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</si>
  <si>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</si>
  <si>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</si>
  <si>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</si>
  <si>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</si>
  <si>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</si>
  <si>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</si>
  <si>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</si>
  <si>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</si>
  <si>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</si>
  <si>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</si>
  <si>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</si>
  <si>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</si>
  <si>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</si>
  <si>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</si>
  <si>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</si>
  <si>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</si>
  <si>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</si>
  <si>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</si>
  <si>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</si>
  <si>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</si>
  <si>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</si>
  <si>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</si>
  <si>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</si>
  <si>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</si>
  <si>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</si>
  <si>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</si>
  <si>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</si>
  <si>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</si>
  <si>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</si>
  <si>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</si>
  <si>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</si>
  <si>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</si>
  <si>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</si>
  <si>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</si>
  <si>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</si>
  <si>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</si>
  <si>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</si>
  <si>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</si>
  <si>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</si>
  <si>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</si>
  <si>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</si>
  <si>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</si>
  <si>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</si>
  <si>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</si>
  <si>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</si>
  <si>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</si>
  <si>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</si>
  <si>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</si>
  <si>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</si>
  <si>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</si>
  <si>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</si>
  <si>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</si>
  <si>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</si>
  <si>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</si>
  <si>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</si>
  <si>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</si>
  <si>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</si>
  <si>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</si>
  <si>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</si>
  <si>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</si>
  <si>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</si>
  <si>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</si>
  <si>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</si>
  <si>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</si>
  <si>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</si>
  <si>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</si>
  <si>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</si>
  <si>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</si>
  <si>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</si>
  <si>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</si>
  <si>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</si>
  <si>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</si>
  <si>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</si>
  <si>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</si>
  <si>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</si>
  <si>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</si>
  <si>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</si>
  <si>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</si>
  <si>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</si>
  <si>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</si>
  <si>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</si>
  <si>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</si>
  <si>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</si>
  <si>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</si>
  <si>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</si>
  <si>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</si>
  <si>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</si>
  <si>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</si>
  <si>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</si>
  <si>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</si>
  <si>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</si>
  <si>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</si>
  <si>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</si>
  <si>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</si>
  <si>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</si>
  <si>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</si>
  <si>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</si>
  <si>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</si>
  <si>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</si>
  <si>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</si>
  <si>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</si>
  <si>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</si>
  <si>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</si>
  <si>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</si>
  <si>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</si>
  <si>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</si>
  <si>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</si>
  <si>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</si>
  <si>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</si>
  <si>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</si>
  <si>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jharkhand</t>
  </si>
  <si>
    <t>Ranchi</t>
  </si>
  <si>
    <t>Khunti</t>
  </si>
  <si>
    <t>Lohardaga</t>
  </si>
  <si>
    <t>Gumla</t>
  </si>
  <si>
    <t>Simdega</t>
  </si>
  <si>
    <t>East Singhbhum</t>
  </si>
  <si>
    <t>S. Kharsawan</t>
  </si>
  <si>
    <t>W. Singhbhum</t>
  </si>
  <si>
    <t>Palamu</t>
  </si>
  <si>
    <t>Latehar</t>
  </si>
  <si>
    <t>Garhwa</t>
  </si>
  <si>
    <t>Hazaribagh</t>
  </si>
  <si>
    <t>Ramgarh</t>
  </si>
  <si>
    <t>Koderma</t>
  </si>
  <si>
    <t>Chatra</t>
  </si>
  <si>
    <t>Giridih</t>
  </si>
  <si>
    <t>Dhanbad</t>
  </si>
  <si>
    <t>Bokaro</t>
  </si>
  <si>
    <t>Dumka</t>
  </si>
  <si>
    <t>Jamtara</t>
  </si>
  <si>
    <t>Sahibganj</t>
  </si>
  <si>
    <t>Pakur</t>
  </si>
  <si>
    <t>Gooda</t>
  </si>
  <si>
    <t>Deoghar</t>
  </si>
  <si>
    <t>Aditya Kumar Anand</t>
  </si>
  <si>
    <t>Director, JSMDMA</t>
  </si>
  <si>
    <t>Mukesh Kumar Sinha</t>
  </si>
  <si>
    <t>Deputy Director, JSMDMA</t>
  </si>
  <si>
    <t>Egg/Seasonal Fruit</t>
  </si>
  <si>
    <t>Rs.4.00</t>
  </si>
  <si>
    <t>3/week i.e. Monday, Wednesday &amp; Friday</t>
  </si>
  <si>
    <t>Rs.6.00</t>
  </si>
  <si>
    <t>Rs. 6.00</t>
  </si>
  <si>
    <t>2/week i.e. Monday, &amp; Friday</t>
  </si>
  <si>
    <t>2018-19, Egg Days</t>
  </si>
  <si>
    <t>From 11/12/2018 till date</t>
  </si>
  <si>
    <t>From 1/4/2018 to 10/12/2018</t>
  </si>
  <si>
    <t>From 04/02/2019 till date</t>
  </si>
  <si>
    <t>Remarks *</t>
  </si>
  <si>
    <t>From 1/4/2018 to 03/02/2019</t>
  </si>
  <si>
    <t>Budget Provision (Central + State)</t>
  </si>
  <si>
    <t>8 model</t>
  </si>
  <si>
    <t>5 model</t>
  </si>
  <si>
    <t xml:space="preserve">NOT APPLICABLE </t>
  </si>
  <si>
    <t>11.02.2019</t>
  </si>
  <si>
    <t>26.09.2018</t>
  </si>
  <si>
    <t>27.04.2018</t>
  </si>
  <si>
    <t>28.02.2013
22.10.2014</t>
  </si>
  <si>
    <t>S -Kharsawan</t>
  </si>
  <si>
    <t>Chartra</t>
  </si>
  <si>
    <t>Sahebganj</t>
  </si>
  <si>
    <t>Godda</t>
  </si>
  <si>
    <t xml:space="preserve">NOT APPLICABLE  </t>
  </si>
  <si>
    <t>e-transfer</t>
  </si>
  <si>
    <t>INCLUDED IN AT-8</t>
  </si>
  <si>
    <t>02.08.18
14.08.18
05.10.18</t>
  </si>
  <si>
    <t>27.12.19
17.01.19</t>
  </si>
  <si>
    <t>16.04.19
03.05.19
07.05.19</t>
  </si>
  <si>
    <t>07.05.19</t>
  </si>
  <si>
    <t>24.07.18</t>
  </si>
  <si>
    <t>12.12.18</t>
  </si>
  <si>
    <t>22.03.19
31.03.19</t>
  </si>
  <si>
    <t>13.03.19</t>
  </si>
  <si>
    <t>Social Audit Unit Jharkhand</t>
  </si>
  <si>
    <t>Yes</t>
  </si>
  <si>
    <t>KVK, Ramgarh</t>
  </si>
  <si>
    <t>Rallies during School Chalein Chalayein Abhiyan</t>
  </si>
  <si>
    <t>_</t>
  </si>
  <si>
    <t>KVK, Ranchi</t>
  </si>
  <si>
    <t>KVK, Khunti</t>
  </si>
  <si>
    <t>KVK, Gumla</t>
  </si>
  <si>
    <t>KVK, Simdega</t>
  </si>
  <si>
    <t>KVK, East Singhbhum</t>
  </si>
  <si>
    <t>KVK, S. Kharsawan</t>
  </si>
  <si>
    <t>KVK, W. Singhbhum</t>
  </si>
  <si>
    <t>KVK, Palamu</t>
  </si>
  <si>
    <t>KVK, Latehar</t>
  </si>
  <si>
    <t>KVK, Garhwa</t>
  </si>
  <si>
    <t>KVK, Hazaribagh</t>
  </si>
  <si>
    <t>KVK, Koderma</t>
  </si>
  <si>
    <t>KVK, Chatra</t>
  </si>
  <si>
    <t>KVK, Giridih</t>
  </si>
  <si>
    <t>KVK, Dhanbad</t>
  </si>
  <si>
    <t>KVK, Bokaro</t>
  </si>
  <si>
    <t>KVK, Dumka</t>
  </si>
  <si>
    <t>KVK, Jamtara</t>
  </si>
  <si>
    <t>KVK, Sahibganj</t>
  </si>
  <si>
    <t>KVK, Pakur</t>
  </si>
  <si>
    <t>KVK, Gooda</t>
  </si>
  <si>
    <t>KVK, Deoghar</t>
  </si>
  <si>
    <t>1 day</t>
  </si>
  <si>
    <t>State Module</t>
  </si>
  <si>
    <t>State MDM Authority</t>
  </si>
  <si>
    <t>YES. District MDM Cell</t>
  </si>
  <si>
    <t>YES. Block MDM Cell</t>
  </si>
  <si>
    <t>YES. State MDM Director and State MDM Nodal Officer</t>
  </si>
  <si>
    <t>YES. DSE cum Nodal Officer MDM</t>
  </si>
  <si>
    <t>YES. BEEO cum Nodal Officer MDM</t>
  </si>
  <si>
    <t>YES</t>
  </si>
  <si>
    <t>ATN on complaints received sent to GoI.</t>
  </si>
  <si>
    <t>ISKCON</t>
  </si>
  <si>
    <t>20 km</t>
  </si>
  <si>
    <t>16 km</t>
  </si>
  <si>
    <t>SMC/VEC / WEC/ Saraswati Vahini Mata Samiti</t>
  </si>
  <si>
    <t>NILL</t>
  </si>
  <si>
    <t>NOT APPLICABLE</t>
  </si>
  <si>
    <t>SMS</t>
  </si>
  <si>
    <t>IT Department, Jharkhand.</t>
  </si>
  <si>
    <t>Pulse 1 (Arhar)</t>
  </si>
  <si>
    <t>Pulse 2 (Masur)</t>
  </si>
  <si>
    <t>PROPOSAL FOR 2019-20</t>
  </si>
  <si>
    <t>PAB Approval for 2018-19</t>
  </si>
  <si>
    <t>Proposal for 2018-19</t>
  </si>
  <si>
    <t>Institutions</t>
  </si>
  <si>
    <t>STC (NCLP)</t>
  </si>
  <si>
    <t>Children</t>
  </si>
  <si>
    <t>Performance for 2018-19</t>
  </si>
  <si>
    <t>Working Days</t>
  </si>
  <si>
    <t>Cook cum Helper</t>
  </si>
  <si>
    <t>Drought</t>
  </si>
  <si>
    <t>Non Recurring</t>
  </si>
  <si>
    <t>Kitchen cum Store</t>
  </si>
  <si>
    <t>Children (Pri)</t>
  </si>
  <si>
    <t>Children (U Pri)</t>
  </si>
  <si>
    <t>Kitchen Devices (Replacement)</t>
  </si>
  <si>
    <t>Central Assistance (Rs. in Crore)</t>
  </si>
  <si>
    <t>Regular</t>
  </si>
  <si>
    <t>Nil</t>
  </si>
  <si>
    <t>GOVERNMENT OF JHARKHAND</t>
  </si>
  <si>
    <t>MID DAY MEAL SCHEME</t>
  </si>
  <si>
    <t>JHARKHAND STATE MID DAY MEAL SCHEME</t>
  </si>
  <si>
    <t>Sl.No.</t>
  </si>
  <si>
    <t>Approved by PAB 2018-19</t>
  </si>
  <si>
    <t>Sanctioned no. of cooks</t>
  </si>
  <si>
    <t>working no. of cooks</t>
  </si>
  <si>
    <t>Food grains</t>
  </si>
  <si>
    <t>Honorarium</t>
  </si>
  <si>
    <t>TC</t>
  </si>
  <si>
    <t>COF</t>
  </si>
  <si>
    <t>NCLP/ STCs</t>
  </si>
  <si>
    <t xml:space="preserve">Central </t>
  </si>
  <si>
    <t>No. of days for which PAB sanctioned</t>
  </si>
  <si>
    <t>Total Amount Admissible</t>
  </si>
  <si>
    <t>Primary + Upper Primary</t>
  </si>
  <si>
    <t>Upper Primary + NCLP/STCs</t>
  </si>
  <si>
    <t>Proposal for Central Share &amp; State Share FY 2019-20</t>
  </si>
  <si>
    <t>Proposal for Central Share &amp; State Shaer (Drought) FY 2019-20</t>
  </si>
  <si>
    <t>Central Drought</t>
  </si>
  <si>
    <t>State Drought</t>
  </si>
  <si>
    <t>Rs. 322.06 cr</t>
  </si>
  <si>
    <t>Demand for 2019-20</t>
  </si>
  <si>
    <t xml:space="preserve">C.Cost </t>
  </si>
  <si>
    <t>CoF</t>
  </si>
  <si>
    <t>Central Share (Drought)</t>
  </si>
  <si>
    <t>State Share (Drought)</t>
  </si>
  <si>
    <t>No. of Children</t>
  </si>
  <si>
    <t>No. of Cooks</t>
  </si>
  <si>
    <t>Total Central + State (Regular)</t>
  </si>
  <si>
    <t>Total Central + State (Drought)</t>
  </si>
  <si>
    <t>Central Share (Regular)</t>
  </si>
  <si>
    <t>State Share (Regular)</t>
  </si>
  <si>
    <t>Total no.  of institutions
in the State after merger</t>
  </si>
  <si>
    <t>Total no.  of institutions
in the State as per PAB Approval 2018-19</t>
  </si>
  <si>
    <t>No. of Schools merged</t>
  </si>
  <si>
    <t>Total No. of Schools after merger</t>
  </si>
  <si>
    <t>Rs. 348.75 cr</t>
  </si>
  <si>
    <t>Rs. 25.71 cr</t>
  </si>
  <si>
    <t>kitchen device</t>
  </si>
  <si>
    <t>1 to 50</t>
  </si>
  <si>
    <t>51 to 150</t>
  </si>
  <si>
    <t>151 to 250</t>
  </si>
  <si>
    <t>251 &amp; above</t>
  </si>
  <si>
    <t>No Demand</t>
  </si>
  <si>
    <t>Rs. 29.69 cr</t>
  </si>
  <si>
    <t>Rs. 74.88 cr</t>
  </si>
  <si>
    <t>Kitchen Device (new)</t>
  </si>
  <si>
    <t>Rs. 479.03 cr</t>
  </si>
  <si>
    <t xml:space="preserve">Kitchen cum Store </t>
  </si>
  <si>
    <t xml:space="preserve">Kitchen Device (new) </t>
  </si>
  <si>
    <t>Rs. 2.638 cr.</t>
  </si>
  <si>
    <t>Recurring</t>
  </si>
  <si>
    <t>Non-recurring</t>
  </si>
  <si>
    <t>Drought (Primary + Upper Primary)</t>
  </si>
  <si>
    <t>********************</t>
  </si>
  <si>
    <t>Not accepting govt. fund</t>
  </si>
  <si>
    <t>1. State Food Testing Lab, Namkum, Ranchi
2. Sun Tec Tupudana, Ranchi
3. BIT Meshra, Lab, Ranchi</t>
  </si>
  <si>
    <t>Director (JSMDMA)</t>
  </si>
  <si>
    <t>Deputy Director (JSMDMA)</t>
  </si>
  <si>
    <t>Computer Operator</t>
  </si>
  <si>
    <t>Soft were developer</t>
  </si>
  <si>
    <t>Co-ordinator</t>
  </si>
  <si>
    <t>Accountant   (On Deputation)</t>
  </si>
  <si>
    <t>Clerk   (On Deputation)</t>
  </si>
  <si>
    <t xml:space="preserve">DSE </t>
  </si>
  <si>
    <t>District Nodal Officer</t>
  </si>
  <si>
    <t>BEEO'S</t>
  </si>
  <si>
    <t>Unspent balance as on 31.03.2019               
[Col: (4+5)-7]</t>
  </si>
  <si>
    <t>BOKARO</t>
  </si>
  <si>
    <t>CHATRA</t>
  </si>
  <si>
    <t>DEOGHAR</t>
  </si>
  <si>
    <t>DHANBAD</t>
  </si>
  <si>
    <t>DUMKA</t>
  </si>
  <si>
    <t>EAST SINGHBUM</t>
  </si>
  <si>
    <t>GARHWA</t>
  </si>
  <si>
    <t>GIRIDIH</t>
  </si>
  <si>
    <t>GODDA</t>
  </si>
  <si>
    <t>GUMLA</t>
  </si>
  <si>
    <t>HAZARIBAG</t>
  </si>
  <si>
    <t>JAMTARA</t>
  </si>
  <si>
    <t>KHUNTI</t>
  </si>
  <si>
    <t>KODARMA</t>
  </si>
  <si>
    <t>LATEHAR</t>
  </si>
  <si>
    <t>LOHARDAGA</t>
  </si>
  <si>
    <t>PAKAUR</t>
  </si>
  <si>
    <t>PALAMU</t>
  </si>
  <si>
    <t>RAMGARH</t>
  </si>
  <si>
    <t>RANCHI</t>
  </si>
  <si>
    <t>SAHIBGANJ</t>
  </si>
  <si>
    <t>SARAIKELA-KHARSAWAN</t>
  </si>
  <si>
    <t>SIMDEGA</t>
  </si>
  <si>
    <t>WEST SINGHBHUM</t>
  </si>
  <si>
    <t>PASHCHIMI SINGHBHUM</t>
  </si>
  <si>
    <t>PURBI SINGHBHUM</t>
  </si>
  <si>
    <t>State / UT: Jharkhand</t>
  </si>
  <si>
    <t>State / UT:</t>
  </si>
  <si>
    <t>KVK, Lohardaga</t>
  </si>
  <si>
    <t>The Concept of "Tithi Bhojan", in the state is celebrating in the occasion of Saraswati Pooja and Gandhi Jayanti by the community providing puri, sabji, kheer and bundiya.</t>
  </si>
  <si>
    <t>No demand</t>
  </si>
  <si>
    <t xml:space="preserve">* Out of 79591 cook-cum-helpers, a total of 66174 cooks were trained during last FY. </t>
  </si>
  <si>
    <t>Financial (Rs. in lakh)                                       [col. 4-col.6-col.8]</t>
  </si>
  <si>
    <t>No Complain of discrimination of any kind in MDMS during 01.04.2018 to 31.03.2019.</t>
  </si>
  <si>
    <t xml:space="preserve">Average No. of children availed MDM [Col. 8/Col. 9] </t>
  </si>
  <si>
    <t>(Signature)</t>
  </si>
  <si>
    <t xml:space="preserve">Secretary of the Nodal Department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</si>
  <si>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</si>
  <si>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Seal:</t>
  </si>
  <si>
    <t>Government/UT Administration of ________</t>
  </si>
  <si>
    <t xml:space="preserve">                          Government/UT Administration of ________</t>
  </si>
  <si>
    <t xml:space="preserve"> Government/UT Administration of ________</t>
  </si>
  <si>
    <t>Date:</t>
  </si>
  <si>
    <t>Seal</t>
  </si>
  <si>
    <t xml:space="preserve">          Seal:</t>
  </si>
  <si>
    <t>Upry</t>
  </si>
  <si>
    <t>NCLP</t>
  </si>
  <si>
    <t>U.Pry</t>
  </si>
  <si>
    <t>Replaced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</si>
</sst>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.0000"/>
    <numFmt numFmtId="179" formatCode="0.000"/>
    <numFmt numFmtId="180" formatCode="0.00000"/>
    <numFmt numFmtId="181" formatCode="0.000000"/>
  </numFmts>
  <fonts count="104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b/>
      <i/>
      <sz val="18"/>
      <name val="Arial"/>
      <family val="2"/>
    </font>
    <font>
      <b/>
      <u/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Arial"/>
      <family val="2"/>
    </font>
    <font>
      <b/>
      <i/>
      <sz val="14"/>
      <color indexed="8"/>
      <name val="Calibri"/>
      <family val="2"/>
    </font>
    <font>
      <b/>
      <i/>
      <sz val="72"/>
      <color indexed="8"/>
      <name val="Calibri"/>
      <family val="2"/>
    </font>
    <font>
      <b/>
      <u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36"/>
      <color indexed="8"/>
      <name val="Calibri"/>
      <family val="2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1" fillId="0" borderId="0"/>
    <xf numFmtId="0" fontId="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7" fillId="0" borderId="0"/>
    <xf numFmtId="0" fontId="7" fillId="0" borderId="0"/>
    <xf numFmtId="0" fontId="7" fillId="0" borderId="0"/>
    <xf numFmtId="9" fontId="57" fillId="0" borderId="0" applyFont="0" applyFill="0" applyBorder="0" applyAlignment="0" applyProtection="0"/>
    <xf numFmtId="9" fontId="59" fillId="0" borderId="0" applyFont="0" applyFill="0" applyBorder="0" applyAlignment="0" applyProtection="0"/>
  </cellStyleXfs>
  <cellXfs count="120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/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17" fillId="0" borderId="2" xfId="0" quotePrefix="1" applyFont="1" applyBorder="1" applyAlignment="1">
      <alignment horizontal="center" vertical="top" wrapText="1"/>
    </xf>
    <xf numFmtId="0" fontId="7" fillId="0" borderId="0" xfId="0" quotePrefix="1" applyFont="1" applyBorder="1" applyAlignment="1">
      <alignment horizontal="center"/>
    </xf>
    <xf numFmtId="0" fontId="19" fillId="0" borderId="0" xfId="7" applyFont="1"/>
    <xf numFmtId="0" fontId="20" fillId="0" borderId="2" xfId="7" applyFont="1" applyBorder="1" applyAlignment="1">
      <alignment horizontal="center" vertical="top" wrapText="1"/>
    </xf>
    <xf numFmtId="0" fontId="101" fillId="0" borderId="0" xfId="7"/>
    <xf numFmtId="0" fontId="101" fillId="0" borderId="0" xfId="7" applyAlignment="1">
      <alignment horizontal="left"/>
    </xf>
    <xf numFmtId="0" fontId="21" fillId="0" borderId="0" xfId="7" applyFont="1" applyAlignment="1">
      <alignment horizontal="left"/>
    </xf>
    <xf numFmtId="0" fontId="101" fillId="0" borderId="7" xfId="7" applyBorder="1" applyAlignment="1">
      <alignment horizontal="center"/>
    </xf>
    <xf numFmtId="0" fontId="18" fillId="0" borderId="0" xfId="7" applyFont="1"/>
    <xf numFmtId="0" fontId="18" fillId="0" borderId="0" xfId="7" applyFont="1" applyAlignment="1">
      <alignment horizontal="center"/>
    </xf>
    <xf numFmtId="0" fontId="101" fillId="0" borderId="2" xfId="7" applyBorder="1"/>
    <xf numFmtId="0" fontId="101" fillId="0" borderId="0" xfId="7" applyBorder="1"/>
    <xf numFmtId="0" fontId="2" fillId="0" borderId="0" xfId="0" applyFont="1" applyAlignment="1">
      <alignment vertical="top" wrapText="1"/>
    </xf>
    <xf numFmtId="0" fontId="22" fillId="0" borderId="3" xfId="7" applyFont="1" applyBorder="1" applyAlignment="1">
      <alignment horizontal="center" vertical="top" wrapText="1"/>
    </xf>
    <xf numFmtId="0" fontId="22" fillId="0" borderId="2" xfId="7" applyFont="1" applyBorder="1" applyAlignment="1">
      <alignment horizontal="center" vertical="top" wrapText="1"/>
    </xf>
    <xf numFmtId="0" fontId="18" fillId="0" borderId="0" xfId="7" applyFont="1" applyBorder="1" applyAlignment="1">
      <alignment horizontal="left"/>
    </xf>
    <xf numFmtId="0" fontId="7" fillId="0" borderId="0" xfId="21"/>
    <xf numFmtId="0" fontId="12" fillId="0" borderId="0" xfId="21" applyFont="1" applyAlignment="1">
      <alignment horizontal="center"/>
    </xf>
    <xf numFmtId="0" fontId="5" fillId="0" borderId="0" xfId="21" applyFont="1" applyAlignment="1">
      <alignment horizontal="center"/>
    </xf>
    <xf numFmtId="0" fontId="4" fillId="0" borderId="0" xfId="21" applyFont="1"/>
    <xf numFmtId="0" fontId="2" fillId="0" borderId="2" xfId="21" applyFont="1" applyBorder="1" applyAlignment="1">
      <alignment horizontal="center" vertical="top" wrapText="1"/>
    </xf>
    <xf numFmtId="0" fontId="2" fillId="0" borderId="4" xfId="21" applyFont="1" applyBorder="1" applyAlignment="1">
      <alignment horizontal="center" vertical="top" wrapText="1"/>
    </xf>
    <xf numFmtId="0" fontId="7" fillId="0" borderId="2" xfId="21" applyBorder="1" applyAlignment="1">
      <alignment horizontal="center"/>
    </xf>
    <xf numFmtId="0" fontId="7" fillId="0" borderId="2" xfId="21" applyBorder="1"/>
    <xf numFmtId="0" fontId="7" fillId="0" borderId="4" xfId="21" applyBorder="1"/>
    <xf numFmtId="0" fontId="7" fillId="0" borderId="0" xfId="21" applyFill="1" applyBorder="1" applyAlignment="1">
      <alignment horizontal="left"/>
    </xf>
    <xf numFmtId="0" fontId="2" fillId="0" borderId="0" xfId="21" applyFont="1" applyBorder="1" applyAlignment="1">
      <alignment horizontal="center"/>
    </xf>
    <xf numFmtId="0" fontId="7" fillId="0" borderId="0" xfId="21" applyBorder="1"/>
    <xf numFmtId="0" fontId="2" fillId="0" borderId="0" xfId="21" applyFont="1"/>
    <xf numFmtId="0" fontId="3" fillId="0" borderId="0" xfId="21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8" xfId="0" applyFont="1" applyBorder="1"/>
    <xf numFmtId="0" fontId="2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19" fillId="0" borderId="2" xfId="7" applyFont="1" applyBorder="1"/>
    <xf numFmtId="0" fontId="19" fillId="0" borderId="2" xfId="7" applyFont="1" applyBorder="1" applyAlignment="1">
      <alignment wrapText="1"/>
    </xf>
    <xf numFmtId="0" fontId="19" fillId="0" borderId="2" xfId="7" applyFont="1" applyBorder="1" applyAlignment="1"/>
    <xf numFmtId="0" fontId="19" fillId="0" borderId="0" xfId="7" applyFont="1" applyBorder="1"/>
    <xf numFmtId="0" fontId="17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/>
    <xf numFmtId="0" fontId="24" fillId="0" borderId="0" xfId="7" applyFont="1"/>
    <xf numFmtId="0" fontId="101" fillId="0" borderId="2" xfId="7" applyBorder="1" applyAlignment="1">
      <alignment horizontal="center"/>
    </xf>
    <xf numFmtId="0" fontId="1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9" fillId="0" borderId="2" xfId="7" applyFont="1" applyBorder="1" applyAlignment="1">
      <alignment horizontal="center"/>
    </xf>
    <xf numFmtId="0" fontId="2" fillId="0" borderId="0" xfId="21" applyFont="1" applyBorder="1"/>
    <xf numFmtId="0" fontId="18" fillId="0" borderId="0" xfId="7" applyFont="1" applyBorder="1" applyAlignment="1">
      <alignment horizontal="center"/>
    </xf>
    <xf numFmtId="0" fontId="6" fillId="0" borderId="0" xfId="0" applyFont="1" applyBorder="1"/>
    <xf numFmtId="0" fontId="20" fillId="0" borderId="3" xfId="7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21" applyFont="1" applyAlignment="1">
      <alignment horizontal="center"/>
    </xf>
    <xf numFmtId="0" fontId="18" fillId="0" borderId="2" xfId="7" applyFont="1" applyBorder="1" applyAlignment="1">
      <alignment horizontal="center"/>
    </xf>
    <xf numFmtId="0" fontId="18" fillId="0" borderId="0" xfId="7" applyFont="1" applyAlignment="1">
      <alignment horizontal="center" vertical="top" wrapText="1"/>
    </xf>
    <xf numFmtId="0" fontId="18" fillId="0" borderId="2" xfId="7" applyFont="1" applyBorder="1" applyAlignment="1">
      <alignment horizontal="center" vertical="top" wrapText="1"/>
    </xf>
    <xf numFmtId="0" fontId="11" fillId="0" borderId="0" xfId="21" applyFont="1" applyAlignment="1"/>
    <xf numFmtId="0" fontId="17" fillId="0" borderId="0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0" xfId="21" applyFont="1" applyFill="1" applyBorder="1" applyAlignment="1">
      <alignment horizontal="center" vertical="top" wrapText="1"/>
    </xf>
    <xf numFmtId="0" fontId="7" fillId="0" borderId="0" xfId="21" applyAlignment="1">
      <alignment horizontal="left"/>
    </xf>
    <xf numFmtId="0" fontId="6" fillId="0" borderId="0" xfId="21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7" fillId="0" borderId="0" xfId="7" applyFont="1"/>
    <xf numFmtId="0" fontId="5" fillId="0" borderId="0" xfId="7" applyFont="1" applyAlignment="1">
      <alignment horizontal="center"/>
    </xf>
    <xf numFmtId="0" fontId="7" fillId="0" borderId="2" xfId="7" applyFont="1" applyBorder="1"/>
    <xf numFmtId="0" fontId="2" fillId="0" borderId="2" xfId="7" applyFont="1" applyBorder="1"/>
    <xf numFmtId="0" fontId="7" fillId="0" borderId="2" xfId="7" applyFont="1" applyBorder="1" applyAlignment="1"/>
    <xf numFmtId="0" fontId="7" fillId="0" borderId="2" xfId="7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7" applyFont="1" applyBorder="1" applyAlignment="1">
      <alignment horizontal="center" vertical="top" wrapText="1"/>
    </xf>
    <xf numFmtId="0" fontId="24" fillId="0" borderId="0" xfId="7" applyFont="1" applyAlignment="1">
      <alignment horizontal="center"/>
    </xf>
    <xf numFmtId="0" fontId="28" fillId="0" borderId="10" xfId="7" applyFont="1" applyBorder="1" applyAlignment="1">
      <alignment horizontal="center" wrapText="1"/>
    </xf>
    <xf numFmtId="0" fontId="28" fillId="0" borderId="1" xfId="7" applyFont="1" applyBorder="1" applyAlignment="1">
      <alignment horizontal="center"/>
    </xf>
    <xf numFmtId="0" fontId="2" fillId="0" borderId="11" xfId="21" applyFont="1" applyFill="1" applyBorder="1" applyAlignment="1">
      <alignment horizontal="center" vertical="top" wrapText="1"/>
    </xf>
    <xf numFmtId="0" fontId="7" fillId="0" borderId="5" xfId="21" applyBorder="1"/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22" fillId="0" borderId="5" xfId="7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0" fillId="0" borderId="0" xfId="7" applyFont="1" applyAlignment="1">
      <alignment horizontal="center"/>
    </xf>
    <xf numFmtId="0" fontId="7" fillId="0" borderId="0" xfId="2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7" fillId="0" borderId="2" xfId="21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2" xfId="21" applyFont="1" applyBorder="1" applyAlignment="1">
      <alignment horizontal="left" vertical="center" wrapText="1"/>
    </xf>
    <xf numFmtId="0" fontId="2" fillId="0" borderId="2" xfId="21" applyFont="1" applyBorder="1" applyAlignment="1">
      <alignment horizontal="left" vertical="center"/>
    </xf>
    <xf numFmtId="0" fontId="7" fillId="0" borderId="0" xfId="22"/>
    <xf numFmtId="0" fontId="2" fillId="0" borderId="0" xfId="22" applyFont="1"/>
    <xf numFmtId="0" fontId="2" fillId="0" borderId="2" xfId="22" applyFont="1" applyBorder="1" applyAlignment="1">
      <alignment horizontal="center"/>
    </xf>
    <xf numFmtId="0" fontId="2" fillId="0" borderId="2" xfId="22" applyFont="1" applyBorder="1" applyAlignment="1">
      <alignment horizontal="left"/>
    </xf>
    <xf numFmtId="0" fontId="2" fillId="0" borderId="2" xfId="22" applyFont="1" applyBorder="1" applyAlignment="1">
      <alignment horizontal="left" wrapText="1"/>
    </xf>
    <xf numFmtId="0" fontId="7" fillId="0" borderId="0" xfId="22" applyFill="1" applyBorder="1" applyAlignment="1">
      <alignment horizontal="left"/>
    </xf>
    <xf numFmtId="0" fontId="7" fillId="0" borderId="0" xfId="23"/>
    <xf numFmtId="0" fontId="3" fillId="0" borderId="0" xfId="23" applyFont="1" applyAlignment="1">
      <alignment horizontal="right"/>
    </xf>
    <xf numFmtId="0" fontId="4" fillId="0" borderId="0" xfId="23" applyFont="1" applyAlignment="1">
      <alignment horizontal="right"/>
    </xf>
    <xf numFmtId="0" fontId="15" fillId="0" borderId="2" xfId="23" applyFont="1" applyBorder="1" applyAlignment="1">
      <alignment horizontal="center" vertical="top" wrapText="1"/>
    </xf>
    <xf numFmtId="0" fontId="15" fillId="0" borderId="2" xfId="23" applyFont="1" applyBorder="1" applyAlignment="1">
      <alignment horizontal="center" vertical="center" wrapText="1"/>
    </xf>
    <xf numFmtId="0" fontId="2" fillId="0" borderId="2" xfId="23" applyFont="1" applyBorder="1" applyAlignment="1">
      <alignment horizontal="center" vertical="center"/>
    </xf>
    <xf numFmtId="0" fontId="13" fillId="0" borderId="0" xfId="23" applyFont="1" applyAlignment="1">
      <alignment horizontal="left"/>
    </xf>
    <xf numFmtId="0" fontId="6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5" fillId="0" borderId="1" xfId="0" applyFont="1" applyBorder="1" applyAlignment="1">
      <alignment vertical="top" wrapText="1"/>
    </xf>
    <xf numFmtId="0" fontId="36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62" fillId="0" borderId="0" xfId="0" applyFont="1"/>
    <xf numFmtId="0" fontId="2" fillId="0" borderId="0" xfId="7" applyFont="1"/>
    <xf numFmtId="0" fontId="2" fillId="0" borderId="0" xfId="7" applyFont="1" applyAlignment="1">
      <alignment horizontal="center" vertical="top" wrapText="1"/>
    </xf>
    <xf numFmtId="0" fontId="2" fillId="0" borderId="0" xfId="7" applyFont="1" applyAlignment="1">
      <alignment horizontal="center"/>
    </xf>
    <xf numFmtId="0" fontId="17" fillId="0" borderId="0" xfId="7" applyFont="1" applyAlignment="1">
      <alignment horizontal="left"/>
    </xf>
    <xf numFmtId="0" fontId="6" fillId="0" borderId="0" xfId="7" applyFont="1"/>
    <xf numFmtId="0" fontId="2" fillId="0" borderId="0" xfId="7" applyFont="1" applyAlignment="1"/>
    <xf numFmtId="0" fontId="2" fillId="0" borderId="7" xfId="7" applyFont="1" applyBorder="1" applyAlignment="1"/>
    <xf numFmtId="0" fontId="2" fillId="0" borderId="0" xfId="7" applyFont="1" applyBorder="1" applyAlignment="1"/>
    <xf numFmtId="0" fontId="2" fillId="0" borderId="0" xfId="7" applyFont="1" applyBorder="1"/>
    <xf numFmtId="0" fontId="2" fillId="0" borderId="0" xfId="7" applyFont="1" applyBorder="1" applyAlignment="1">
      <alignment horizontal="center" vertical="top" wrapText="1"/>
    </xf>
    <xf numFmtId="0" fontId="15" fillId="0" borderId="0" xfId="7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7" applyFont="1" applyBorder="1" applyAlignment="1"/>
    <xf numFmtId="0" fontId="13" fillId="0" borderId="0" xfId="7" applyFont="1" applyBorder="1" applyAlignment="1"/>
    <xf numFmtId="0" fontId="2" fillId="0" borderId="2" xfId="7" applyFont="1" applyBorder="1" applyAlignment="1">
      <alignment vertical="top" wrapText="1"/>
    </xf>
    <xf numFmtId="0" fontId="2" fillId="0" borderId="0" xfId="7" applyFont="1" applyAlignment="1">
      <alignment vertical="top" wrapText="1"/>
    </xf>
    <xf numFmtId="0" fontId="17" fillId="0" borderId="0" xfId="7" applyFont="1"/>
    <xf numFmtId="0" fontId="15" fillId="0" borderId="0" xfId="7" applyFont="1" applyBorder="1" applyAlignment="1">
      <alignment wrapText="1"/>
    </xf>
    <xf numFmtId="0" fontId="2" fillId="2" borderId="2" xfId="7" quotePrefix="1" applyFont="1" applyFill="1" applyBorder="1" applyAlignment="1">
      <alignment horizontal="center" vertical="center" wrapText="1"/>
    </xf>
    <xf numFmtId="0" fontId="2" fillId="0" borderId="0" xfId="7" applyFont="1" applyBorder="1" applyAlignment="1">
      <alignment horizontal="left" vertical="center"/>
    </xf>
    <xf numFmtId="0" fontId="2" fillId="0" borderId="2" xfId="7" applyFont="1" applyBorder="1" applyAlignment="1">
      <alignment horizontal="center" vertical="center"/>
    </xf>
    <xf numFmtId="0" fontId="2" fillId="0" borderId="2" xfId="7" applyFont="1" applyBorder="1" applyAlignment="1">
      <alignment horizontal="left" vertical="center"/>
    </xf>
    <xf numFmtId="0" fontId="2" fillId="0" borderId="0" xfId="7" applyFont="1" applyAlignment="1">
      <alignment horizontal="left" vertical="center"/>
    </xf>
    <xf numFmtId="0" fontId="32" fillId="0" borderId="0" xfId="0" applyFont="1" applyAlignment="1"/>
    <xf numFmtId="0" fontId="33" fillId="0" borderId="0" xfId="0" applyFont="1" applyAlignment="1"/>
    <xf numFmtId="0" fontId="36" fillId="0" borderId="0" xfId="0" applyFont="1" applyBorder="1" applyAlignment="1"/>
    <xf numFmtId="0" fontId="35" fillId="0" borderId="2" xfId="0" applyFont="1" applyBorder="1" applyAlignment="1">
      <alignment horizontal="center" vertical="top" wrapText="1"/>
    </xf>
    <xf numFmtId="0" fontId="63" fillId="0" borderId="0" xfId="0" applyFont="1" applyBorder="1" applyAlignment="1">
      <alignment vertical="top"/>
    </xf>
    <xf numFmtId="0" fontId="64" fillId="0" borderId="2" xfId="0" applyFont="1" applyBorder="1" applyAlignment="1">
      <alignment vertical="top" wrapText="1"/>
    </xf>
    <xf numFmtId="0" fontId="61" fillId="0" borderId="2" xfId="0" applyFont="1" applyBorder="1" applyAlignment="1">
      <alignment horizontal="center"/>
    </xf>
    <xf numFmtId="0" fontId="65" fillId="0" borderId="2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68" fillId="0" borderId="2" xfId="0" applyFont="1" applyBorder="1" applyAlignment="1">
      <alignment vertical="top" wrapText="1"/>
    </xf>
    <xf numFmtId="0" fontId="68" fillId="0" borderId="2" xfId="0" applyFont="1" applyBorder="1" applyAlignment="1">
      <alignment horizontal="center" vertical="top" wrapText="1"/>
    </xf>
    <xf numFmtId="0" fontId="60" fillId="0" borderId="0" xfId="0" applyFont="1"/>
    <xf numFmtId="0" fontId="69" fillId="0" borderId="2" xfId="0" applyFont="1" applyBorder="1" applyAlignment="1">
      <alignment vertical="center" wrapText="1"/>
    </xf>
    <xf numFmtId="0" fontId="69" fillId="0" borderId="0" xfId="0" applyFont="1" applyBorder="1" applyAlignment="1">
      <alignment horizontal="left" vertical="center" wrapText="1" indent="2"/>
    </xf>
    <xf numFmtId="0" fontId="69" fillId="0" borderId="0" xfId="0" applyFont="1" applyBorder="1" applyAlignment="1">
      <alignment vertical="center" wrapText="1"/>
    </xf>
    <xf numFmtId="0" fontId="69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0" fontId="7" fillId="3" borderId="0" xfId="0" applyFont="1" applyFill="1"/>
    <xf numFmtId="0" fontId="12" fillId="3" borderId="0" xfId="0" applyFont="1" applyFill="1"/>
    <xf numFmtId="0" fontId="2" fillId="3" borderId="0" xfId="0" applyFont="1" applyFill="1"/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7" fillId="2" borderId="0" xfId="7" applyFont="1" applyFill="1"/>
    <xf numFmtId="0" fontId="7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2" fillId="2" borderId="0" xfId="0" applyFont="1" applyFill="1"/>
    <xf numFmtId="0" fontId="2" fillId="0" borderId="0" xfId="21" applyFont="1" applyAlignment="1"/>
    <xf numFmtId="0" fontId="17" fillId="0" borderId="0" xfId="21" applyFont="1" applyAlignment="1">
      <alignment horizontal="right"/>
    </xf>
    <xf numFmtId="0" fontId="10" fillId="0" borderId="2" xfId="0" applyFont="1" applyBorder="1" applyAlignment="1">
      <alignment horizontal="center"/>
    </xf>
    <xf numFmtId="0" fontId="60" fillId="0" borderId="2" xfId="7" applyFont="1" applyBorder="1"/>
    <xf numFmtId="0" fontId="60" fillId="0" borderId="0" xfId="7" applyFont="1" applyBorder="1"/>
    <xf numFmtId="0" fontId="34" fillId="2" borderId="0" xfId="0" applyFont="1" applyFill="1"/>
    <xf numFmtId="0" fontId="35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65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34" fillId="0" borderId="2" xfId="0" quotePrefix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/>
    </xf>
    <xf numFmtId="0" fontId="40" fillId="0" borderId="0" xfId="0" applyFont="1" applyAlignment="1"/>
    <xf numFmtId="0" fontId="15" fillId="0" borderId="0" xfId="0" applyFont="1" applyAlignment="1"/>
    <xf numFmtId="0" fontId="70" fillId="0" borderId="2" xfId="0" applyFont="1" applyBorder="1"/>
    <xf numFmtId="0" fontId="32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7" fillId="2" borderId="5" xfId="0" applyFont="1" applyFill="1" applyBorder="1" applyAlignment="1"/>
    <xf numFmtId="0" fontId="35" fillId="2" borderId="1" xfId="0" applyFont="1" applyFill="1" applyBorder="1" applyAlignment="1">
      <alignment horizontal="center" vertical="top" wrapText="1"/>
    </xf>
    <xf numFmtId="0" fontId="2" fillId="0" borderId="0" xfId="8" applyFont="1"/>
    <xf numFmtId="0" fontId="2" fillId="0" borderId="0" xfId="8" applyFont="1" applyAlignment="1">
      <alignment horizontal="center" vertical="top" wrapText="1"/>
    </xf>
    <xf numFmtId="0" fontId="32" fillId="2" borderId="0" xfId="0" applyFont="1" applyFill="1" applyAlignment="1">
      <alignment horizontal="center"/>
    </xf>
    <xf numFmtId="0" fontId="36" fillId="2" borderId="2" xfId="0" quotePrefix="1" applyFont="1" applyFill="1" applyBorder="1" applyAlignment="1">
      <alignment horizontal="center" vertical="top" wrapText="1"/>
    </xf>
    <xf numFmtId="0" fontId="14" fillId="0" borderId="0" xfId="21" applyFont="1" applyAlignment="1">
      <alignment horizontal="left"/>
    </xf>
    <xf numFmtId="0" fontId="2" fillId="0" borderId="0" xfId="21" applyFont="1" applyAlignment="1">
      <alignment horizontal="center"/>
    </xf>
    <xf numFmtId="0" fontId="2" fillId="0" borderId="0" xfId="21" applyFont="1" applyAlignment="1">
      <alignment horizontal="left"/>
    </xf>
    <xf numFmtId="0" fontId="7" fillId="0" borderId="2" xfId="21" applyFont="1" applyBorder="1"/>
    <xf numFmtId="0" fontId="7" fillId="0" borderId="0" xfId="21" applyFont="1" applyBorder="1"/>
    <xf numFmtId="0" fontId="7" fillId="0" borderId="2" xfId="21" applyFont="1" applyBorder="1" applyAlignment="1">
      <alignment horizontal="center"/>
    </xf>
    <xf numFmtId="0" fontId="2" fillId="0" borderId="2" xfId="21" applyFont="1" applyBorder="1"/>
    <xf numFmtId="0" fontId="70" fillId="0" borderId="2" xfId="0" applyFont="1" applyFill="1" applyBorder="1"/>
    <xf numFmtId="0" fontId="101" fillId="0" borderId="0" xfId="7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21" fillId="0" borderId="2" xfId="7" applyFont="1" applyBorder="1" applyAlignment="1">
      <alignment horizontal="center" vertical="center" wrapText="1"/>
    </xf>
    <xf numFmtId="0" fontId="69" fillId="0" borderId="2" xfId="0" applyFont="1" applyBorder="1" applyAlignment="1">
      <alignment vertical="center"/>
    </xf>
    <xf numFmtId="0" fontId="70" fillId="0" borderId="2" xfId="0" applyFont="1" applyBorder="1" applyAlignment="1">
      <alignment horizontal="left"/>
    </xf>
    <xf numFmtId="0" fontId="2" fillId="0" borderId="2" xfId="22" quotePrefix="1" applyFont="1" applyBorder="1" applyAlignment="1">
      <alignment horizontal="center"/>
    </xf>
    <xf numFmtId="0" fontId="12" fillId="2" borderId="0" xfId="0" applyFont="1" applyFill="1"/>
    <xf numFmtId="0" fontId="10" fillId="0" borderId="2" xfId="21" applyFont="1" applyBorder="1" applyAlignment="1">
      <alignment horizontal="center" vertical="top" wrapText="1"/>
    </xf>
    <xf numFmtId="0" fontId="17" fillId="0" borderId="2" xfId="21" applyFont="1" applyBorder="1" applyAlignment="1">
      <alignment horizontal="center" vertical="top" wrapText="1"/>
    </xf>
    <xf numFmtId="0" fontId="17" fillId="0" borderId="5" xfId="21" applyFont="1" applyBorder="1" applyAlignment="1">
      <alignment horizontal="center" vertical="top" wrapText="1"/>
    </xf>
    <xf numFmtId="0" fontId="17" fillId="0" borderId="4" xfId="21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17" fillId="3" borderId="0" xfId="0" applyFont="1" applyFill="1"/>
    <xf numFmtId="0" fontId="27" fillId="0" borderId="2" xfId="7" applyFont="1" applyBorder="1" applyAlignment="1">
      <alignment horizontal="center" vertical="top" wrapText="1"/>
    </xf>
    <xf numFmtId="0" fontId="44" fillId="0" borderId="0" xfId="7" applyFont="1" applyAlignment="1">
      <alignment horizontal="center"/>
    </xf>
    <xf numFmtId="0" fontId="27" fillId="0" borderId="2" xfId="7" applyFont="1" applyBorder="1" applyAlignment="1">
      <alignment horizontal="center"/>
    </xf>
    <xf numFmtId="0" fontId="35" fillId="2" borderId="12" xfId="0" applyFont="1" applyFill="1" applyBorder="1" applyAlignment="1">
      <alignment horizontal="center" vertical="top" wrapText="1"/>
    </xf>
    <xf numFmtId="0" fontId="36" fillId="0" borderId="5" xfId="0" quotePrefix="1" applyFont="1" applyBorder="1" applyAlignment="1">
      <alignment horizontal="center" vertical="top" wrapText="1"/>
    </xf>
    <xf numFmtId="0" fontId="70" fillId="0" borderId="2" xfId="21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/>
    <xf numFmtId="0" fontId="2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14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46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5" fillId="0" borderId="2" xfId="0" applyFont="1" applyBorder="1" applyAlignment="1">
      <alignment vertical="center" wrapText="1"/>
    </xf>
    <xf numFmtId="0" fontId="35" fillId="2" borderId="2" xfId="0" applyFont="1" applyFill="1" applyBorder="1" applyAlignment="1">
      <alignment vertical="center" wrapText="1"/>
    </xf>
    <xf numFmtId="0" fontId="0" fillId="0" borderId="0" xfId="0" applyAlignment="1"/>
    <xf numFmtId="0" fontId="72" fillId="0" borderId="2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2" fontId="47" fillId="0" borderId="2" xfId="23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7" fillId="0" borderId="2" xfId="24" applyFont="1" applyBorder="1" applyAlignment="1">
      <alignment horizontal="right" vertical="center" wrapText="1"/>
    </xf>
    <xf numFmtId="2" fontId="7" fillId="0" borderId="2" xfId="24" applyNumberFormat="1" applyFont="1" applyBorder="1" applyAlignment="1">
      <alignment horizontal="right" vertical="center" wrapText="1"/>
    </xf>
    <xf numFmtId="2" fontId="7" fillId="0" borderId="2" xfId="0" applyNumberFormat="1" applyFont="1" applyBorder="1"/>
    <xf numFmtId="1" fontId="7" fillId="0" borderId="2" xfId="0" applyNumberFormat="1" applyFont="1" applyBorder="1"/>
    <xf numFmtId="2" fontId="2" fillId="0" borderId="2" xfId="0" applyNumberFormat="1" applyFont="1" applyBorder="1"/>
    <xf numFmtId="1" fontId="2" fillId="0" borderId="2" xfId="0" applyNumberFormat="1" applyFont="1" applyBorder="1"/>
    <xf numFmtId="0" fontId="7" fillId="0" borderId="2" xfId="10" applyFont="1" applyFill="1" applyBorder="1" applyAlignment="1">
      <alignment horizontal="left" vertical="center" wrapText="1"/>
    </xf>
    <xf numFmtId="1" fontId="7" fillId="0" borderId="2" xfId="24" applyNumberFormat="1" applyFont="1" applyBorder="1"/>
    <xf numFmtId="2" fontId="7" fillId="0" borderId="2" xfId="24" applyNumberFormat="1" applyFont="1" applyBorder="1"/>
    <xf numFmtId="0" fontId="7" fillId="0" borderId="2" xfId="24" applyFont="1" applyBorder="1"/>
    <xf numFmtId="1" fontId="0" fillId="0" borderId="0" xfId="0" applyNumberFormat="1"/>
    <xf numFmtId="0" fontId="0" fillId="0" borderId="0" xfId="0" applyFill="1"/>
    <xf numFmtId="0" fontId="10" fillId="0" borderId="0" xfId="0" applyFont="1" applyFill="1" applyAlignment="1">
      <alignment horizontal="right"/>
    </xf>
    <xf numFmtId="0" fontId="34" fillId="0" borderId="0" xfId="0" applyFont="1" applyFill="1"/>
    <xf numFmtId="0" fontId="7" fillId="0" borderId="0" xfId="0" applyFont="1" applyAlignment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7" applyFont="1" applyAlignment="1">
      <alignment vertical="center"/>
    </xf>
    <xf numFmtId="1" fontId="7" fillId="0" borderId="6" xfId="0" applyNumberFormat="1" applyFont="1" applyBorder="1"/>
    <xf numFmtId="1" fontId="2" fillId="0" borderId="6" xfId="0" applyNumberFormat="1" applyFont="1" applyBorder="1"/>
    <xf numFmtId="1" fontId="7" fillId="0" borderId="6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 vertical="top" wrapText="1"/>
    </xf>
    <xf numFmtId="0" fontId="7" fillId="0" borderId="2" xfId="0" applyFont="1" applyBorder="1" applyAlignment="1"/>
    <xf numFmtId="0" fontId="7" fillId="0" borderId="5" xfId="0" applyFont="1" applyBorder="1" applyAlignment="1"/>
    <xf numFmtId="2" fontId="7" fillId="0" borderId="2" xfId="0" applyNumberFormat="1" applyFont="1" applyBorder="1" applyAlignment="1"/>
    <xf numFmtId="2" fontId="7" fillId="0" borderId="2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/>
    </xf>
    <xf numFmtId="0" fontId="35" fillId="0" borderId="2" xfId="0" quotePrefix="1" applyFont="1" applyBorder="1" applyAlignment="1">
      <alignment horizontal="center" vertical="top" wrapText="1"/>
    </xf>
    <xf numFmtId="179" fontId="47" fillId="0" borderId="2" xfId="23" applyNumberFormat="1" applyFont="1" applyBorder="1" applyAlignment="1">
      <alignment horizontal="center" vertical="center" wrapText="1"/>
    </xf>
    <xf numFmtId="0" fontId="13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 vertical="center" wrapText="1"/>
    </xf>
    <xf numFmtId="0" fontId="7" fillId="0" borderId="0" xfId="23" applyAlignment="1">
      <alignment vertical="center"/>
    </xf>
    <xf numFmtId="178" fontId="7" fillId="0" borderId="2" xfId="0" applyNumberFormat="1" applyFont="1" applyBorder="1" applyAlignment="1">
      <alignment horizontal="right" vertical="center"/>
    </xf>
    <xf numFmtId="1" fontId="2" fillId="0" borderId="0" xfId="0" applyNumberFormat="1" applyFont="1"/>
    <xf numFmtId="0" fontId="0" fillId="2" borderId="0" xfId="0" applyFill="1" applyBorder="1"/>
    <xf numFmtId="2" fontId="0" fillId="0" borderId="0" xfId="0" applyNumberFormat="1" applyFill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right" vertical="top" wrapText="1"/>
    </xf>
    <xf numFmtId="2" fontId="7" fillId="0" borderId="0" xfId="0" applyNumberFormat="1" applyFont="1"/>
    <xf numFmtId="1" fontId="2" fillId="0" borderId="10" xfId="0" applyNumberFormat="1" applyFont="1" applyFill="1" applyBorder="1"/>
    <xf numFmtId="0" fontId="7" fillId="0" borderId="2" xfId="7" applyFont="1" applyBorder="1" applyAlignment="1">
      <alignment horizontal="center" vertical="center"/>
    </xf>
    <xf numFmtId="2" fontId="7" fillId="0" borderId="2" xfId="7" applyNumberFormat="1" applyFont="1" applyBorder="1" applyAlignment="1">
      <alignment horizontal="right" vertical="center"/>
    </xf>
    <xf numFmtId="2" fontId="7" fillId="2" borderId="2" xfId="7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2" fontId="2" fillId="0" borderId="2" xfId="7" applyNumberFormat="1" applyFont="1" applyBorder="1" applyAlignment="1">
      <alignment horizontal="right" vertical="center"/>
    </xf>
    <xf numFmtId="0" fontId="2" fillId="0" borderId="0" xfId="7" applyFont="1" applyAlignment="1">
      <alignment vertical="center"/>
    </xf>
    <xf numFmtId="2" fontId="7" fillId="0" borderId="2" xfId="7" applyNumberFormat="1" applyFont="1" applyFill="1" applyBorder="1" applyAlignment="1">
      <alignment horizontal="right" vertical="center"/>
    </xf>
    <xf numFmtId="2" fontId="7" fillId="0" borderId="2" xfId="7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2" fontId="61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45" fillId="0" borderId="2" xfId="0" quotePrefix="1" applyFont="1" applyBorder="1" applyAlignment="1">
      <alignment horizontal="center" vertical="top" wrapText="1"/>
    </xf>
    <xf numFmtId="0" fontId="36" fillId="0" borderId="2" xfId="0" quotePrefix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73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5" fillId="0" borderId="2" xfId="0" applyFont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right" vertical="top" wrapText="1"/>
    </xf>
    <xf numFmtId="2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17" fillId="2" borderId="2" xfId="0" applyNumberFormat="1" applyFont="1" applyFill="1" applyBorder="1" applyAlignment="1">
      <alignment horizontal="right"/>
    </xf>
    <xf numFmtId="2" fontId="10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2" fontId="10" fillId="0" borderId="0" xfId="0" applyNumberFormat="1" applyFont="1" applyBorder="1"/>
    <xf numFmtId="2" fontId="0" fillId="0" borderId="0" xfId="0" applyNumberFormat="1"/>
    <xf numFmtId="0" fontId="50" fillId="0" borderId="2" xfId="24" applyFont="1" applyBorder="1" applyAlignment="1">
      <alignment horizontal="center" vertical="center" wrapText="1"/>
    </xf>
    <xf numFmtId="0" fontId="49" fillId="0" borderId="2" xfId="24" applyFont="1" applyBorder="1" applyAlignment="1">
      <alignment horizontal="center" vertical="center" wrapText="1"/>
    </xf>
    <xf numFmtId="0" fontId="69" fillId="0" borderId="2" xfId="0" applyFont="1" applyBorder="1" applyAlignment="1">
      <alignment horizontal="left" vertical="center" wrapText="1"/>
    </xf>
    <xf numFmtId="0" fontId="2" fillId="0" borderId="2" xfId="21" applyFont="1" applyBorder="1" applyAlignment="1">
      <alignment horizontal="right"/>
    </xf>
    <xf numFmtId="0" fontId="2" fillId="0" borderId="5" xfId="21" applyFont="1" applyBorder="1"/>
    <xf numFmtId="0" fontId="2" fillId="0" borderId="4" xfId="21" applyFont="1" applyBorder="1"/>
    <xf numFmtId="1" fontId="2" fillId="0" borderId="2" xfId="21" applyNumberFormat="1" applyFont="1" applyBorder="1"/>
    <xf numFmtId="0" fontId="2" fillId="2" borderId="2" xfId="0" applyFont="1" applyFill="1" applyBorder="1"/>
    <xf numFmtId="0" fontId="15" fillId="0" borderId="0" xfId="0" applyFont="1" applyAlignment="1">
      <alignment vertical="top" wrapText="1"/>
    </xf>
    <xf numFmtId="0" fontId="60" fillId="0" borderId="0" xfId="7" applyFont="1"/>
    <xf numFmtId="1" fontId="7" fillId="3" borderId="0" xfId="0" applyNumberFormat="1" applyFont="1" applyFill="1"/>
    <xf numFmtId="1" fontId="7" fillId="2" borderId="0" xfId="0" applyNumberFormat="1" applyFont="1" applyFill="1"/>
    <xf numFmtId="1" fontId="7" fillId="2" borderId="2" xfId="0" applyNumberFormat="1" applyFont="1" applyFill="1" applyBorder="1"/>
    <xf numFmtId="1" fontId="2" fillId="2" borderId="2" xfId="0" applyNumberFormat="1" applyFont="1" applyFill="1" applyBorder="1"/>
    <xf numFmtId="0" fontId="2" fillId="2" borderId="5" xfId="0" applyFont="1" applyFill="1" applyBorder="1" applyAlignment="1"/>
    <xf numFmtId="2" fontId="7" fillId="2" borderId="2" xfId="0" applyNumberFormat="1" applyFont="1" applyFill="1" applyBorder="1"/>
    <xf numFmtId="2" fontId="2" fillId="2" borderId="2" xfId="0" applyNumberFormat="1" applyFont="1" applyFill="1" applyBorder="1"/>
    <xf numFmtId="2" fontId="7" fillId="2" borderId="2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7" fillId="0" borderId="0" xfId="0" applyNumberFormat="1" applyFont="1" applyBorder="1"/>
    <xf numFmtId="0" fontId="101" fillId="0" borderId="0" xfId="27"/>
    <xf numFmtId="0" fontId="60" fillId="0" borderId="0" xfId="27" applyFont="1" applyAlignment="1">
      <alignment horizontal="center" vertical="center" wrapText="1"/>
    </xf>
    <xf numFmtId="0" fontId="60" fillId="0" borderId="2" xfId="27" applyFont="1" applyBorder="1" applyAlignment="1">
      <alignment horizontal="center" vertical="center" wrapText="1"/>
    </xf>
    <xf numFmtId="0" fontId="60" fillId="0" borderId="3" xfId="27" applyFont="1" applyBorder="1" applyAlignment="1">
      <alignment horizontal="center" vertical="center" wrapText="1"/>
    </xf>
    <xf numFmtId="0" fontId="101" fillId="0" borderId="2" xfId="27" applyBorder="1" applyAlignment="1">
      <alignment horizontal="center"/>
    </xf>
    <xf numFmtId="2" fontId="101" fillId="0" borderId="2" xfId="27" applyNumberFormat="1" applyBorder="1"/>
    <xf numFmtId="2" fontId="101" fillId="0" borderId="0" xfId="27" applyNumberFormat="1"/>
    <xf numFmtId="1" fontId="60" fillId="0" borderId="2" xfId="27" applyNumberFormat="1" applyFont="1" applyBorder="1"/>
    <xf numFmtId="2" fontId="60" fillId="0" borderId="2" xfId="27" applyNumberFormat="1" applyFont="1" applyBorder="1"/>
    <xf numFmtId="0" fontId="60" fillId="0" borderId="0" xfId="27" applyFont="1"/>
    <xf numFmtId="0" fontId="74" fillId="0" borderId="0" xfId="27" applyFont="1"/>
    <xf numFmtId="180" fontId="101" fillId="0" borderId="0" xfId="27" applyNumberFormat="1"/>
    <xf numFmtId="181" fontId="101" fillId="0" borderId="0" xfId="27" applyNumberFormat="1"/>
    <xf numFmtId="0" fontId="60" fillId="0" borderId="2" xfId="27" applyFont="1" applyBorder="1"/>
    <xf numFmtId="1" fontId="7" fillId="0" borderId="2" xfId="27" applyNumberFormat="1" applyFont="1" applyBorder="1" applyAlignment="1">
      <alignment horizontal="right"/>
    </xf>
    <xf numFmtId="2" fontId="59" fillId="0" borderId="2" xfId="27" applyNumberFormat="1" applyFont="1" applyBorder="1" applyAlignment="1">
      <alignment horizontal="right"/>
    </xf>
    <xf numFmtId="2" fontId="59" fillId="0" borderId="2" xfId="27" applyNumberFormat="1" applyFont="1" applyBorder="1" applyAlignment="1">
      <alignment horizontal="right" vertical="center" wrapText="1"/>
    </xf>
    <xf numFmtId="1" fontId="60" fillId="0" borderId="2" xfId="27" applyNumberFormat="1" applyFont="1" applyBorder="1" applyAlignment="1">
      <alignment horizontal="right"/>
    </xf>
    <xf numFmtId="2" fontId="60" fillId="0" borderId="2" xfId="27" applyNumberFormat="1" applyFont="1" applyBorder="1" applyAlignment="1">
      <alignment horizontal="right"/>
    </xf>
    <xf numFmtId="2" fontId="75" fillId="0" borderId="2" xfId="27" applyNumberFormat="1" applyFont="1" applyBorder="1" applyAlignment="1">
      <alignment horizontal="right"/>
    </xf>
    <xf numFmtId="2" fontId="75" fillId="0" borderId="2" xfId="27" applyNumberFormat="1" applyFont="1" applyBorder="1" applyAlignment="1">
      <alignment horizontal="right" vertical="center" wrapText="1"/>
    </xf>
    <xf numFmtId="1" fontId="101" fillId="0" borderId="2" xfId="27" applyNumberFormat="1" applyBorder="1"/>
    <xf numFmtId="0" fontId="70" fillId="0" borderId="2" xfId="27" applyFont="1" applyBorder="1" applyAlignment="1">
      <alignment horizontal="right"/>
    </xf>
    <xf numFmtId="0" fontId="70" fillId="0" borderId="2" xfId="16" applyFont="1" applyBorder="1" applyAlignment="1">
      <alignment horizontal="right"/>
    </xf>
    <xf numFmtId="0" fontId="70" fillId="0" borderId="2" xfId="16" applyFont="1" applyBorder="1" applyAlignment="1">
      <alignment horizontal="right" vertical="center"/>
    </xf>
    <xf numFmtId="0" fontId="75" fillId="0" borderId="2" xfId="27" applyFont="1" applyBorder="1"/>
    <xf numFmtId="2" fontId="75" fillId="0" borderId="2" xfId="27" applyNumberFormat="1" applyFont="1" applyBorder="1"/>
    <xf numFmtId="2" fontId="101" fillId="0" borderId="2" xfId="27" applyNumberFormat="1" applyBorder="1" applyAlignment="1">
      <alignment horizontal="center"/>
    </xf>
    <xf numFmtId="1" fontId="0" fillId="0" borderId="2" xfId="0" applyNumberFormat="1" applyBorder="1"/>
    <xf numFmtId="0" fontId="76" fillId="0" borderId="2" xfId="0" applyFont="1" applyBorder="1" applyAlignment="1">
      <alignment horizontal="center"/>
    </xf>
    <xf numFmtId="0" fontId="76" fillId="0" borderId="2" xfId="0" applyFont="1" applyBorder="1"/>
    <xf numFmtId="0" fontId="70" fillId="0" borderId="2" xfId="0" applyFont="1" applyBorder="1" applyAlignment="1">
      <alignment horizontal="center"/>
    </xf>
    <xf numFmtId="2" fontId="70" fillId="0" borderId="2" xfId="0" applyNumberFormat="1" applyFont="1" applyBorder="1"/>
    <xf numFmtId="2" fontId="70" fillId="0" borderId="2" xfId="0" applyNumberFormat="1" applyFont="1" applyBorder="1" applyAlignment="1">
      <alignment horizontal="right"/>
    </xf>
    <xf numFmtId="0" fontId="70" fillId="0" borderId="2" xfId="0" applyFont="1" applyBorder="1" applyAlignment="1">
      <alignment horizontal="right"/>
    </xf>
    <xf numFmtId="2" fontId="76" fillId="0" borderId="2" xfId="0" applyNumberFormat="1" applyFont="1" applyBorder="1" applyAlignment="1">
      <alignment horizontal="right"/>
    </xf>
    <xf numFmtId="0" fontId="76" fillId="0" borderId="2" xfId="0" applyFont="1" applyBorder="1" applyAlignment="1">
      <alignment horizontal="right"/>
    </xf>
    <xf numFmtId="0" fontId="76" fillId="0" borderId="2" xfId="0" applyFont="1" applyBorder="1" applyAlignment="1">
      <alignment horizontal="center" vertical="center"/>
    </xf>
    <xf numFmtId="2" fontId="76" fillId="0" borderId="2" xfId="0" applyNumberFormat="1" applyFont="1" applyBorder="1"/>
    <xf numFmtId="0" fontId="76" fillId="0" borderId="2" xfId="0" applyFont="1" applyBorder="1" applyAlignment="1">
      <alignment horizontal="right" vertical="center"/>
    </xf>
    <xf numFmtId="2" fontId="76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1" fontId="0" fillId="2" borderId="2" xfId="0" applyNumberFormat="1" applyFill="1" applyBorder="1"/>
    <xf numFmtId="0" fontId="35" fillId="2" borderId="2" xfId="0" applyFont="1" applyFill="1" applyBorder="1" applyAlignment="1">
      <alignment horizontal="center" vertical="center" wrapText="1"/>
    </xf>
    <xf numFmtId="1" fontId="70" fillId="0" borderId="2" xfId="27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79" fontId="7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9" fillId="0" borderId="2" xfId="7" applyFont="1" applyBorder="1"/>
    <xf numFmtId="1" fontId="59" fillId="0" borderId="2" xfId="7" applyNumberFormat="1" applyFont="1" applyBorder="1"/>
    <xf numFmtId="1" fontId="60" fillId="0" borderId="2" xfId="7" applyNumberFormat="1" applyFont="1" applyBorder="1"/>
    <xf numFmtId="1" fontId="18" fillId="0" borderId="0" xfId="7" applyNumberFormat="1" applyFont="1" applyAlignment="1">
      <alignment horizontal="center"/>
    </xf>
    <xf numFmtId="0" fontId="60" fillId="0" borderId="2" xfId="7" applyFont="1" applyBorder="1" applyAlignment="1">
      <alignment horizontal="right"/>
    </xf>
    <xf numFmtId="1" fontId="59" fillId="0" borderId="2" xfId="7" applyNumberFormat="1" applyFont="1" applyBorder="1" applyAlignment="1">
      <alignment horizontal="right"/>
    </xf>
    <xf numFmtId="1" fontId="77" fillId="0" borderId="2" xfId="7" applyNumberFormat="1" applyFont="1" applyBorder="1" applyAlignment="1">
      <alignment horizontal="right" vertical="top" wrapText="1"/>
    </xf>
    <xf numFmtId="1" fontId="101" fillId="0" borderId="0" xfId="7" applyNumberFormat="1" applyBorder="1"/>
    <xf numFmtId="1" fontId="18" fillId="0" borderId="0" xfId="7" applyNumberFormat="1" applyFont="1" applyAlignment="1">
      <alignment horizontal="right"/>
    </xf>
    <xf numFmtId="1" fontId="55" fillId="0" borderId="0" xfId="7" applyNumberFormat="1" applyFont="1" applyAlignment="1">
      <alignment horizontal="right"/>
    </xf>
    <xf numFmtId="1" fontId="59" fillId="0" borderId="0" xfId="7" applyNumberFormat="1" applyFont="1" applyAlignment="1">
      <alignment horizontal="right"/>
    </xf>
    <xf numFmtId="1" fontId="59" fillId="0" borderId="0" xfId="7" applyNumberFormat="1" applyFont="1" applyBorder="1" applyAlignment="1">
      <alignment horizontal="right"/>
    </xf>
    <xf numFmtId="1" fontId="60" fillId="0" borderId="0" xfId="7" applyNumberFormat="1" applyFont="1"/>
    <xf numFmtId="1" fontId="60" fillId="0" borderId="0" xfId="7" applyNumberFormat="1" applyFont="1" applyAlignment="1">
      <alignment horizontal="right"/>
    </xf>
    <xf numFmtId="2" fontId="77" fillId="0" borderId="2" xfId="7" applyNumberFormat="1" applyFont="1" applyBorder="1" applyAlignment="1">
      <alignment horizontal="right" vertical="top" wrapText="1"/>
    </xf>
    <xf numFmtId="2" fontId="60" fillId="0" borderId="2" xfId="7" applyNumberFormat="1" applyFont="1" applyBorder="1" applyAlignment="1">
      <alignment horizontal="right"/>
    </xf>
    <xf numFmtId="2" fontId="0" fillId="0" borderId="2" xfId="0" applyNumberFormat="1" applyBorder="1"/>
    <xf numFmtId="2" fontId="101" fillId="0" borderId="2" xfId="7" applyNumberFormat="1" applyBorder="1"/>
    <xf numFmtId="2" fontId="60" fillId="0" borderId="2" xfId="7" applyNumberFormat="1" applyFont="1" applyBorder="1"/>
    <xf numFmtId="2" fontId="78" fillId="0" borderId="2" xfId="22" applyNumberFormat="1" applyFont="1" applyBorder="1"/>
    <xf numFmtId="0" fontId="71" fillId="0" borderId="0" xfId="22" applyFont="1"/>
    <xf numFmtId="0" fontId="79" fillId="0" borderId="0" xfId="22" applyFont="1" applyAlignment="1"/>
    <xf numFmtId="0" fontId="80" fillId="0" borderId="0" xfId="22" applyFont="1" applyAlignment="1"/>
    <xf numFmtId="0" fontId="81" fillId="0" borderId="0" xfId="22" applyFont="1"/>
    <xf numFmtId="0" fontId="82" fillId="0" borderId="0" xfId="22" applyFont="1"/>
    <xf numFmtId="0" fontId="82" fillId="0" borderId="2" xfId="22" applyFont="1" applyBorder="1"/>
    <xf numFmtId="0" fontId="82" fillId="0" borderId="0" xfId="22" applyFont="1" applyBorder="1"/>
    <xf numFmtId="0" fontId="83" fillId="0" borderId="0" xfId="22" applyFont="1"/>
    <xf numFmtId="2" fontId="84" fillId="0" borderId="2" xfId="22" applyNumberFormat="1" applyFont="1" applyBorder="1"/>
    <xf numFmtId="0" fontId="20" fillId="0" borderId="2" xfId="7" applyFont="1" applyBorder="1"/>
    <xf numFmtId="0" fontId="20" fillId="0" borderId="0" xfId="7" applyFont="1"/>
    <xf numFmtId="1" fontId="10" fillId="0" borderId="2" xfId="0" applyNumberFormat="1" applyFont="1" applyBorder="1" applyAlignment="1">
      <alignment horizontal="right" vertical="center" wrapText="1"/>
    </xf>
    <xf numFmtId="1" fontId="10" fillId="0" borderId="2" xfId="0" applyNumberFormat="1" applyFont="1" applyBorder="1" applyAlignment="1">
      <alignment horizontal="right"/>
    </xf>
    <xf numFmtId="1" fontId="19" fillId="0" borderId="2" xfId="7" applyNumberFormat="1" applyFont="1" applyBorder="1" applyAlignment="1">
      <alignment wrapText="1"/>
    </xf>
    <xf numFmtId="1" fontId="19" fillId="0" borderId="2" xfId="7" applyNumberFormat="1" applyFont="1" applyBorder="1"/>
    <xf numFmtId="1" fontId="20" fillId="0" borderId="2" xfId="7" applyNumberFormat="1" applyFont="1" applyBorder="1"/>
    <xf numFmtId="2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/>
    </xf>
    <xf numFmtId="0" fontId="2" fillId="0" borderId="2" xfId="7" applyFont="1" applyBorder="1" applyAlignment="1">
      <alignment horizontal="left"/>
    </xf>
    <xf numFmtId="2" fontId="7" fillId="0" borderId="0" xfId="7" applyNumberFormat="1" applyFont="1" applyAlignment="1">
      <alignment vertical="center"/>
    </xf>
    <xf numFmtId="0" fontId="7" fillId="0" borderId="2" xfId="10" applyFont="1" applyFill="1" applyBorder="1" applyAlignment="1">
      <alignment horizontal="left" wrapText="1"/>
    </xf>
    <xf numFmtId="0" fontId="2" fillId="0" borderId="2" xfId="7" applyFont="1" applyBorder="1" applyAlignment="1">
      <alignment horizontal="center"/>
    </xf>
    <xf numFmtId="0" fontId="2" fillId="0" borderId="2" xfId="7" applyFont="1" applyBorder="1" applyAlignment="1">
      <alignment horizontal="center" vertical="top" wrapText="1"/>
    </xf>
    <xf numFmtId="0" fontId="17" fillId="2" borderId="2" xfId="7" quotePrefix="1" applyFont="1" applyFill="1" applyBorder="1" applyAlignment="1">
      <alignment horizontal="center" vertical="center" wrapText="1"/>
    </xf>
    <xf numFmtId="0" fontId="7" fillId="0" borderId="0" xfId="7" applyFont="1" applyBorder="1"/>
    <xf numFmtId="0" fontId="2" fillId="0" borderId="0" xfId="7" applyFont="1" applyBorder="1" applyAlignment="1">
      <alignment vertical="top" wrapText="1"/>
    </xf>
    <xf numFmtId="0" fontId="2" fillId="0" borderId="2" xfId="7" applyFont="1" applyBorder="1" applyAlignment="1">
      <alignment horizontal="right" vertical="center"/>
    </xf>
    <xf numFmtId="0" fontId="56" fillId="0" borderId="2" xfId="7" applyFont="1" applyBorder="1" applyAlignment="1">
      <alignment horizontal="right" vertical="top" wrapText="1"/>
    </xf>
    <xf numFmtId="0" fontId="59" fillId="0" borderId="2" xfId="7" applyFont="1" applyBorder="1" applyAlignment="1">
      <alignment horizontal="right"/>
    </xf>
    <xf numFmtId="1" fontId="56" fillId="0" borderId="2" xfId="7" applyNumberFormat="1" applyFont="1" applyBorder="1" applyAlignment="1">
      <alignment horizontal="right" vertical="top" wrapText="1"/>
    </xf>
    <xf numFmtId="1" fontId="30" fillId="0" borderId="0" xfId="7" applyNumberFormat="1" applyFont="1" applyAlignment="1">
      <alignment horizontal="center"/>
    </xf>
    <xf numFmtId="1" fontId="101" fillId="0" borderId="0" xfId="7" applyNumberFormat="1"/>
    <xf numFmtId="1" fontId="56" fillId="0" borderId="2" xfId="7" applyNumberFormat="1" applyFont="1" applyBorder="1" applyAlignment="1">
      <alignment vertical="top" wrapText="1"/>
    </xf>
    <xf numFmtId="1" fontId="56" fillId="0" borderId="3" xfId="7" applyNumberFormat="1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64" fillId="0" borderId="2" xfId="0" applyFont="1" applyBorder="1" applyAlignment="1">
      <alignment horizontal="center" vertical="top" wrapText="1"/>
    </xf>
    <xf numFmtId="0" fontId="2" fillId="0" borderId="0" xfId="7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21" applyFont="1" applyAlignment="1">
      <alignment horizontal="right" vertical="top" wrapText="1"/>
    </xf>
    <xf numFmtId="0" fontId="101" fillId="0" borderId="2" xfId="7" applyBorder="1" applyAlignment="1">
      <alignment horizontal="left" vertical="center" wrapText="1"/>
    </xf>
    <xf numFmtId="0" fontId="101" fillId="0" borderId="2" xfId="7" applyBorder="1" applyAlignment="1">
      <alignment vertical="center"/>
    </xf>
    <xf numFmtId="1" fontId="59" fillId="0" borderId="2" xfId="37" applyNumberFormat="1" applyFont="1" applyBorder="1" applyAlignment="1">
      <alignment vertical="center"/>
    </xf>
    <xf numFmtId="0" fontId="59" fillId="0" borderId="2" xfId="37" applyNumberFormat="1" applyFont="1" applyBorder="1" applyAlignment="1">
      <alignment vertical="center"/>
    </xf>
    <xf numFmtId="1" fontId="2" fillId="0" borderId="2" xfId="7" applyNumberFormat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2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7" fillId="0" borderId="0" xfId="0" applyFont="1" applyAlignment="1"/>
    <xf numFmtId="2" fontId="1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2" fillId="0" borderId="0" xfId="7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7" applyFont="1" applyFill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" fontId="7" fillId="0" borderId="0" xfId="0" applyNumberFormat="1" applyFont="1" applyFill="1" applyBorder="1"/>
    <xf numFmtId="0" fontId="2" fillId="0" borderId="0" xfId="0" applyFont="1" applyFill="1"/>
    <xf numFmtId="0" fontId="13" fillId="0" borderId="0" xfId="0" applyFont="1" applyFill="1"/>
    <xf numFmtId="1" fontId="7" fillId="0" borderId="0" xfId="0" applyNumberFormat="1" applyFont="1" applyFill="1"/>
    <xf numFmtId="2" fontId="7" fillId="0" borderId="0" xfId="0" applyNumberFormat="1" applyFont="1" applyFill="1"/>
    <xf numFmtId="0" fontId="68" fillId="0" borderId="0" xfId="7" applyFont="1" applyBorder="1" applyAlignment="1">
      <alignment horizontal="center"/>
    </xf>
    <xf numFmtId="1" fontId="60" fillId="0" borderId="0" xfId="7" applyNumberFormat="1" applyFont="1" applyBorder="1"/>
    <xf numFmtId="0" fontId="60" fillId="0" borderId="0" xfId="7" applyFont="1" applyBorder="1" applyAlignment="1">
      <alignment horizontal="center"/>
    </xf>
    <xf numFmtId="2" fontId="60" fillId="0" borderId="0" xfId="7" applyNumberFormat="1" applyFont="1" applyBorder="1"/>
    <xf numFmtId="0" fontId="7" fillId="0" borderId="0" xfId="22" applyAlignment="1"/>
    <xf numFmtId="0" fontId="6" fillId="0" borderId="0" xfId="22" applyFont="1" applyAlignment="1">
      <alignment vertical="top" wrapText="1"/>
    </xf>
    <xf numFmtId="0" fontId="2" fillId="0" borderId="0" xfId="21" applyFont="1" applyAlignment="1">
      <alignment vertical="top" wrapText="1"/>
    </xf>
    <xf numFmtId="2" fontId="85" fillId="0" borderId="0" xfId="22" applyNumberFormat="1" applyFont="1"/>
    <xf numFmtId="0" fontId="86" fillId="0" borderId="0" xfId="22" applyFont="1"/>
    <xf numFmtId="0" fontId="87" fillId="0" borderId="0" xfId="22" applyFont="1" applyAlignment="1"/>
    <xf numFmtId="0" fontId="2" fillId="0" borderId="7" xfId="23" applyFont="1" applyBorder="1" applyAlignment="1"/>
    <xf numFmtId="0" fontId="2" fillId="0" borderId="7" xfId="0" applyFont="1" applyBorder="1" applyAlignment="1"/>
    <xf numFmtId="0" fontId="2" fillId="0" borderId="7" xfId="2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1" fontId="17" fillId="0" borderId="2" xfId="0" applyNumberFormat="1" applyFont="1" applyBorder="1" applyAlignment="1">
      <alignment horizontal="right"/>
    </xf>
    <xf numFmtId="0" fontId="82" fillId="0" borderId="2" xfId="22" applyFont="1" applyBorder="1" applyAlignment="1">
      <alignment horizontal="center" vertical="top" wrapText="1"/>
    </xf>
    <xf numFmtId="2" fontId="88" fillId="0" borderId="2" xfId="22" applyNumberFormat="1" applyFont="1" applyBorder="1" applyAlignment="1">
      <alignment horizontal="center" vertical="top" wrapText="1"/>
    </xf>
    <xf numFmtId="0" fontId="88" fillId="0" borderId="2" xfId="22" applyFont="1" applyBorder="1" applyAlignment="1">
      <alignment horizontal="center" vertical="top" wrapText="1"/>
    </xf>
    <xf numFmtId="0" fontId="82" fillId="0" borderId="2" xfId="22" applyFont="1" applyBorder="1" applyAlignment="1">
      <alignment horizontal="center"/>
    </xf>
    <xf numFmtId="0" fontId="83" fillId="0" borderId="2" xfId="22" applyFont="1" applyBorder="1"/>
    <xf numFmtId="0" fontId="86" fillId="0" borderId="2" xfId="22" applyFont="1" applyBorder="1"/>
    <xf numFmtId="0" fontId="89" fillId="0" borderId="2" xfId="10" applyFont="1" applyBorder="1" applyAlignment="1">
      <alignment horizontal="right" wrapText="1" readingOrder="1"/>
    </xf>
    <xf numFmtId="0" fontId="90" fillId="0" borderId="2" xfId="10" applyFont="1" applyBorder="1" applyAlignment="1">
      <alignment horizontal="right" wrapText="1" readingOrder="1"/>
    </xf>
    <xf numFmtId="0" fontId="71" fillId="0" borderId="2" xfId="22" applyFont="1" applyBorder="1"/>
    <xf numFmtId="0" fontId="7" fillId="0" borderId="0" xfId="22" applyBorder="1"/>
    <xf numFmtId="2" fontId="78" fillId="0" borderId="0" xfId="22" applyNumberFormat="1" applyFont="1" applyBorder="1"/>
    <xf numFmtId="0" fontId="7" fillId="0" borderId="0" xfId="22" applyBorder="1" applyAlignment="1"/>
    <xf numFmtId="0" fontId="7" fillId="0" borderId="0" xfId="22" applyBorder="1" applyAlignment="1">
      <alignment horizontal="left"/>
    </xf>
    <xf numFmtId="0" fontId="2" fillId="0" borderId="0" xfId="22" applyFont="1" applyBorder="1" applyAlignment="1"/>
    <xf numFmtId="1" fontId="7" fillId="0" borderId="0" xfId="0" applyNumberFormat="1" applyFont="1"/>
    <xf numFmtId="0" fontId="86" fillId="0" borderId="0" xfId="0" applyFont="1" applyBorder="1"/>
    <xf numFmtId="1" fontId="86" fillId="0" borderId="0" xfId="0" applyNumberFormat="1" applyFont="1" applyBorder="1"/>
    <xf numFmtId="2" fontId="86" fillId="0" borderId="0" xfId="0" applyNumberFormat="1" applyFont="1" applyBorder="1"/>
    <xf numFmtId="0" fontId="91" fillId="0" borderId="0" xfId="0" applyFont="1" applyAlignment="1">
      <alignment vertical="top" wrapText="1"/>
    </xf>
    <xf numFmtId="0" fontId="86" fillId="0" borderId="0" xfId="0" applyFont="1"/>
    <xf numFmtId="0" fontId="7" fillId="0" borderId="2" xfId="0" applyFont="1" applyFill="1" applyBorder="1"/>
    <xf numFmtId="0" fontId="0" fillId="0" borderId="0" xfId="0" applyAlignment="1">
      <alignment horizontal="right"/>
    </xf>
    <xf numFmtId="1" fontId="7" fillId="0" borderId="2" xfId="24" applyNumberFormat="1" applyFont="1" applyBorder="1" applyAlignment="1">
      <alignment horizontal="right" vertical="center" wrapText="1"/>
    </xf>
    <xf numFmtId="1" fontId="7" fillId="0" borderId="2" xfId="24" applyNumberFormat="1" applyFont="1" applyBorder="1" applyAlignment="1">
      <alignment vertical="center" wrapText="1"/>
    </xf>
    <xf numFmtId="2" fontId="7" fillId="0" borderId="2" xfId="24" applyNumberFormat="1" applyFont="1" applyBorder="1" applyAlignment="1">
      <alignment vertical="center" wrapText="1"/>
    </xf>
    <xf numFmtId="1" fontId="17" fillId="0" borderId="2" xfId="0" applyNumberFormat="1" applyFont="1" applyBorder="1" applyAlignment="1">
      <alignment horizontal="center"/>
    </xf>
    <xf numFmtId="0" fontId="7" fillId="0" borderId="2" xfId="24" applyFont="1" applyBorder="1" applyAlignment="1">
      <alignment vertical="center" wrapText="1"/>
    </xf>
    <xf numFmtId="0" fontId="0" fillId="0" borderId="2" xfId="0" applyBorder="1" applyAlignment="1">
      <alignment horizontal="right"/>
    </xf>
    <xf numFmtId="2" fontId="2" fillId="0" borderId="0" xfId="0" applyNumberFormat="1" applyFont="1" applyBorder="1"/>
    <xf numFmtId="1" fontId="2" fillId="0" borderId="0" xfId="0" applyNumberFormat="1" applyFont="1" applyBorder="1"/>
    <xf numFmtId="0" fontId="71" fillId="0" borderId="0" xfId="0" applyFont="1"/>
    <xf numFmtId="0" fontId="79" fillId="0" borderId="0" xfId="0" applyFont="1"/>
    <xf numFmtId="0" fontId="83" fillId="0" borderId="0" xfId="0" applyFont="1"/>
    <xf numFmtId="1" fontId="71" fillId="0" borderId="0" xfId="0" applyNumberFormat="1" applyFont="1"/>
    <xf numFmtId="1" fontId="83" fillId="0" borderId="0" xfId="0" applyNumberFormat="1" applyFont="1" applyBorder="1"/>
    <xf numFmtId="0" fontId="71" fillId="0" borderId="0" xfId="0" applyFont="1" applyBorder="1"/>
    <xf numFmtId="0" fontId="83" fillId="0" borderId="0" xfId="0" applyFont="1" applyBorder="1"/>
    <xf numFmtId="2" fontId="71" fillId="0" borderId="0" xfId="0" applyNumberFormat="1" applyFont="1"/>
    <xf numFmtId="0" fontId="86" fillId="0" borderId="0" xfId="22" applyFont="1" applyBorder="1"/>
    <xf numFmtId="0" fontId="86" fillId="0" borderId="0" xfId="22" applyFont="1" applyBorder="1" applyAlignment="1"/>
    <xf numFmtId="0" fontId="36" fillId="0" borderId="2" xfId="0" quotePrefix="1" applyFont="1" applyBorder="1" applyAlignment="1">
      <alignment horizontal="right" vertical="top" wrapText="1"/>
    </xf>
    <xf numFmtId="0" fontId="35" fillId="0" borderId="2" xfId="0" quotePrefix="1" applyFont="1" applyBorder="1" applyAlignment="1">
      <alignment horizontal="right" vertical="top" wrapText="1"/>
    </xf>
    <xf numFmtId="0" fontId="35" fillId="0" borderId="2" xfId="0" applyFont="1" applyBorder="1" applyAlignment="1">
      <alignment horizontal="right" vertical="top" wrapText="1"/>
    </xf>
    <xf numFmtId="2" fontId="35" fillId="0" borderId="2" xfId="0" quotePrefix="1" applyNumberFormat="1" applyFont="1" applyBorder="1" applyAlignment="1">
      <alignment horizontal="right" vertical="top" wrapText="1"/>
    </xf>
    <xf numFmtId="1" fontId="61" fillId="0" borderId="0" xfId="0" applyNumberFormat="1" applyFont="1" applyAlignment="1">
      <alignment horizontal="center"/>
    </xf>
    <xf numFmtId="0" fontId="60" fillId="0" borderId="2" xfId="0" applyFont="1" applyBorder="1" applyAlignment="1">
      <alignment horizontal="center" vertical="center" wrapText="1"/>
    </xf>
    <xf numFmtId="0" fontId="60" fillId="0" borderId="2" xfId="0" applyFont="1" applyBorder="1" applyAlignment="1">
      <alignment vertical="center" wrapText="1"/>
    </xf>
    <xf numFmtId="0" fontId="6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2" xfId="7" applyFont="1" applyBorder="1" applyAlignment="1">
      <alignment horizontal="center" vertical="center" wrapText="1"/>
    </xf>
    <xf numFmtId="1" fontId="22" fillId="0" borderId="2" xfId="7" applyNumberFormat="1" applyFont="1" applyBorder="1" applyAlignment="1">
      <alignment vertical="top" wrapText="1"/>
    </xf>
    <xf numFmtId="0" fontId="56" fillId="0" borderId="2" xfId="18" applyFont="1" applyBorder="1" applyAlignment="1">
      <alignment horizontal="right" vertical="top" wrapText="1"/>
    </xf>
    <xf numFmtId="0" fontId="97" fillId="0" borderId="2" xfId="0" applyFont="1" applyBorder="1" applyAlignment="1">
      <alignment horizontal="right" vertical="top" wrapText="1"/>
    </xf>
    <xf numFmtId="0" fontId="97" fillId="0" borderId="5" xfId="0" applyFont="1" applyBorder="1" applyAlignment="1">
      <alignment horizontal="right" vertical="top" wrapText="1"/>
    </xf>
    <xf numFmtId="0" fontId="35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right"/>
    </xf>
    <xf numFmtId="0" fontId="70" fillId="0" borderId="2" xfId="0" quotePrefix="1" applyFont="1" applyBorder="1" applyAlignment="1">
      <alignment horizontal="right" vertical="top" wrapText="1"/>
    </xf>
    <xf numFmtId="0" fontId="2" fillId="2" borderId="0" xfId="0" applyFont="1" applyFill="1" applyBorder="1"/>
    <xf numFmtId="2" fontId="7" fillId="0" borderId="2" xfId="7" applyNumberFormat="1" applyFont="1" applyBorder="1"/>
    <xf numFmtId="0" fontId="2" fillId="0" borderId="2" xfId="24" applyFont="1" applyBorder="1" applyAlignment="1">
      <alignment horizontal="right"/>
    </xf>
    <xf numFmtId="0" fontId="103" fillId="0" borderId="0" xfId="0" applyFont="1"/>
    <xf numFmtId="1" fontId="7" fillId="0" borderId="2" xfId="21" applyNumberFormat="1" applyFont="1" applyBorder="1"/>
    <xf numFmtId="9" fontId="7" fillId="0" borderId="0" xfId="36" applyFont="1"/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right" vertical="top" wrapText="1"/>
    </xf>
    <xf numFmtId="0" fontId="7" fillId="0" borderId="0" xfId="2"/>
    <xf numFmtId="0" fontId="2" fillId="0" borderId="0" xfId="2" applyFont="1"/>
    <xf numFmtId="0" fontId="7" fillId="0" borderId="0" xfId="2" applyFont="1"/>
    <xf numFmtId="0" fontId="2" fillId="0" borderId="0" xfId="2" applyFont="1" applyAlignment="1">
      <alignment horizontal="center"/>
    </xf>
    <xf numFmtId="0" fontId="6" fillId="0" borderId="0" xfId="21" applyFont="1"/>
    <xf numFmtId="0" fontId="6" fillId="0" borderId="0" xfId="2" applyFont="1"/>
    <xf numFmtId="0" fontId="2" fillId="0" borderId="0" xfId="8" applyFont="1" applyAlignment="1"/>
    <xf numFmtId="0" fontId="2" fillId="0" borderId="0" xfId="8" applyFont="1" applyAlignment="1">
      <alignment horizontal="center"/>
    </xf>
    <xf numFmtId="0" fontId="7" fillId="4" borderId="0" xfId="2" applyFont="1" applyFill="1"/>
    <xf numFmtId="0" fontId="7" fillId="4" borderId="0" xfId="2" applyFont="1" applyFill="1"/>
    <xf numFmtId="0" fontId="2" fillId="0" borderId="0" xfId="2" applyFont="1" applyAlignment="1"/>
    <xf numFmtId="0" fontId="2" fillId="4" borderId="0" xfId="2" applyFont="1" applyFill="1" applyAlignment="1"/>
    <xf numFmtId="0" fontId="7" fillId="3" borderId="0" xfId="0" applyFont="1" applyFill="1" applyAlignment="1"/>
    <xf numFmtId="0" fontId="7" fillId="0" borderId="0" xfId="21" applyAlignment="1"/>
    <xf numFmtId="0" fontId="15" fillId="0" borderId="0" xfId="2" applyFont="1"/>
    <xf numFmtId="0" fontId="101" fillId="0" borderId="0" xfId="7"/>
    <xf numFmtId="0" fontId="7" fillId="0" borderId="0" xfId="22" applyAlignment="1">
      <alignment horizontal="left"/>
    </xf>
    <xf numFmtId="0" fontId="6" fillId="0" borderId="0" xfId="22" applyFont="1"/>
    <xf numFmtId="0" fontId="7" fillId="4" borderId="0" xfId="2" applyFont="1" applyFill="1"/>
    <xf numFmtId="0" fontId="2" fillId="4" borderId="0" xfId="2" applyFont="1" applyFill="1"/>
    <xf numFmtId="0" fontId="7" fillId="4" borderId="0" xfId="2" applyFont="1" applyFill="1"/>
    <xf numFmtId="0" fontId="2" fillId="4" borderId="0" xfId="2" applyFont="1" applyFill="1"/>
    <xf numFmtId="0" fontId="7" fillId="4" borderId="0" xfId="2" applyFont="1" applyFill="1"/>
    <xf numFmtId="0" fontId="2" fillId="4" borderId="0" xfId="2" applyFont="1" applyFill="1"/>
    <xf numFmtId="0" fontId="7" fillId="4" borderId="0" xfId="2" applyFont="1" applyFill="1"/>
    <xf numFmtId="0" fontId="2" fillId="4" borderId="0" xfId="2" applyFont="1" applyFill="1"/>
    <xf numFmtId="0" fontId="7" fillId="4" borderId="0" xfId="2" applyFont="1" applyFill="1"/>
    <xf numFmtId="0" fontId="2" fillId="4" borderId="0" xfId="2" applyFont="1" applyFill="1"/>
    <xf numFmtId="0" fontId="101" fillId="0" borderId="0" xfId="7"/>
    <xf numFmtId="0" fontId="7" fillId="4" borderId="0" xfId="2" applyFont="1" applyFill="1"/>
    <xf numFmtId="0" fontId="2" fillId="4" borderId="0" xfId="2" applyFont="1" applyFill="1"/>
    <xf numFmtId="0" fontId="7" fillId="4" borderId="0" xfId="2" applyFont="1" applyFill="1"/>
    <xf numFmtId="0" fontId="2" fillId="4" borderId="0" xfId="2" applyFont="1" applyFill="1"/>
    <xf numFmtId="0" fontId="12" fillId="0" borderId="0" xfId="0" applyFont="1" applyAlignment="1">
      <alignment vertical="top" wrapText="1"/>
    </xf>
    <xf numFmtId="0" fontId="101" fillId="0" borderId="0" xfId="7"/>
    <xf numFmtId="0" fontId="2" fillId="0" borderId="0" xfId="2" applyFont="1" applyAlignment="1">
      <alignment horizontal="left" vertical="top" wrapText="1"/>
    </xf>
    <xf numFmtId="0" fontId="101" fillId="0" borderId="0" xfId="7"/>
    <xf numFmtId="0" fontId="101" fillId="0" borderId="0" xfId="7"/>
    <xf numFmtId="0" fontId="101" fillId="0" borderId="0" xfId="7"/>
    <xf numFmtId="9" fontId="0" fillId="0" borderId="0" xfId="36" applyFont="1"/>
    <xf numFmtId="0" fontId="2" fillId="0" borderId="0" xfId="2" applyFont="1" applyAlignment="1">
      <alignment horizontal="center" vertical="top" wrapText="1"/>
    </xf>
    <xf numFmtId="9" fontId="2" fillId="0" borderId="0" xfId="36" applyFont="1" applyBorder="1" applyAlignment="1">
      <alignment horizontal="right" vertical="center"/>
    </xf>
    <xf numFmtId="9" fontId="2" fillId="0" borderId="0" xfId="36" applyFont="1" applyBorder="1" applyAlignment="1">
      <alignment vertical="center"/>
    </xf>
    <xf numFmtId="2" fontId="7" fillId="0" borderId="0" xfId="0" applyNumberFormat="1" applyFont="1" applyBorder="1"/>
    <xf numFmtId="1" fontId="2" fillId="0" borderId="0" xfId="2" applyNumberFormat="1" applyFont="1"/>
    <xf numFmtId="9" fontId="2" fillId="0" borderId="0" xfId="36" applyFont="1" applyAlignment="1">
      <alignment horizontal="center" vertical="top" wrapText="1"/>
    </xf>
    <xf numFmtId="9" fontId="7" fillId="0" borderId="0" xfId="36" applyFont="1" applyBorder="1"/>
    <xf numFmtId="2" fontId="7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9" fontId="2" fillId="0" borderId="0" xfId="36" applyFont="1" applyBorder="1" applyAlignment="1">
      <alignment horizontal="left" vertical="top" wrapText="1"/>
    </xf>
    <xf numFmtId="9" fontId="17" fillId="0" borderId="0" xfId="36" applyFont="1" applyBorder="1" applyAlignment="1">
      <alignment horizontal="right"/>
    </xf>
    <xf numFmtId="9" fontId="7" fillId="0" borderId="0" xfId="36" applyFont="1" applyAlignment="1">
      <alignment vertical="top" wrapText="1"/>
    </xf>
    <xf numFmtId="9" fontId="0" fillId="0" borderId="0" xfId="36" applyFont="1" applyBorder="1"/>
    <xf numFmtId="1" fontId="0" fillId="0" borderId="0" xfId="0" applyNumberFormat="1" applyBorder="1"/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7" fillId="0" borderId="5" xfId="0" quotePrefix="1" applyFont="1" applyBorder="1" applyAlignment="1">
      <alignment horizontal="center" vertical="top" wrapText="1"/>
    </xf>
    <xf numFmtId="0" fontId="17" fillId="0" borderId="6" xfId="0" quotePrefix="1" applyFont="1" applyBorder="1" applyAlignment="1">
      <alignment horizontal="center" vertical="top" wrapText="1"/>
    </xf>
    <xf numFmtId="0" fontId="17" fillId="0" borderId="2" xfId="0" quotePrefix="1" applyFont="1" applyBorder="1" applyAlignment="1">
      <alignment horizontal="center" vertical="top" wrapText="1"/>
    </xf>
    <xf numFmtId="0" fontId="17" fillId="0" borderId="9" xfId="0" quotePrefix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8" fillId="0" borderId="5" xfId="21" applyFont="1" applyBorder="1" applyAlignment="1">
      <alignment horizontal="left" vertical="center" wrapText="1"/>
    </xf>
    <xf numFmtId="0" fontId="8" fillId="0" borderId="9" xfId="21" applyFont="1" applyBorder="1" applyAlignment="1">
      <alignment horizontal="left" vertical="center" wrapText="1"/>
    </xf>
    <xf numFmtId="0" fontId="8" fillId="0" borderId="6" xfId="21" applyFont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1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21" applyFont="1" applyBorder="1" applyAlignment="1">
      <alignment horizontal="left" vertical="center" wrapText="1"/>
    </xf>
    <xf numFmtId="0" fontId="2" fillId="0" borderId="9" xfId="21" applyFont="1" applyBorder="1" applyAlignment="1">
      <alignment horizontal="left" vertical="center" wrapText="1"/>
    </xf>
    <xf numFmtId="0" fontId="2" fillId="0" borderId="6" xfId="21" applyFont="1" applyBorder="1" applyAlignment="1">
      <alignment horizontal="left" vertical="center" wrapText="1"/>
    </xf>
    <xf numFmtId="178" fontId="0" fillId="0" borderId="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21" applyFont="1" applyFill="1" applyBorder="1" applyAlignment="1">
      <alignment horizontal="center" vertical="center" wrapText="1"/>
    </xf>
    <xf numFmtId="0" fontId="2" fillId="0" borderId="6" xfId="21" applyFont="1" applyFill="1" applyBorder="1" applyAlignment="1">
      <alignment horizontal="center" vertical="center" wrapText="1"/>
    </xf>
    <xf numFmtId="0" fontId="2" fillId="0" borderId="5" xfId="21" applyFont="1" applyBorder="1" applyAlignment="1">
      <alignment horizontal="center" vertical="center"/>
    </xf>
    <xf numFmtId="0" fontId="2" fillId="0" borderId="6" xfId="21" applyFont="1" applyBorder="1" applyAlignment="1">
      <alignment horizontal="center" vertical="center"/>
    </xf>
    <xf numFmtId="0" fontId="15" fillId="0" borderId="2" xfId="23" applyFont="1" applyBorder="1" applyAlignment="1">
      <alignment horizontal="center" vertical="top" wrapText="1"/>
    </xf>
    <xf numFmtId="0" fontId="15" fillId="0" borderId="1" xfId="23" applyFont="1" applyBorder="1" applyAlignment="1">
      <alignment horizontal="center" vertical="center" wrapText="1"/>
    </xf>
    <xf numFmtId="0" fontId="15" fillId="0" borderId="10" xfId="23" applyFont="1" applyBorder="1" applyAlignment="1">
      <alignment horizontal="center" vertical="center" wrapText="1"/>
    </xf>
    <xf numFmtId="0" fontId="15" fillId="0" borderId="3" xfId="23" applyFont="1" applyBorder="1" applyAlignment="1">
      <alignment horizontal="center" vertical="center" wrapText="1"/>
    </xf>
    <xf numFmtId="0" fontId="15" fillId="0" borderId="12" xfId="23" applyFont="1" applyBorder="1" applyAlignment="1">
      <alignment horizontal="center" vertical="center" wrapText="1"/>
    </xf>
    <xf numFmtId="0" fontId="15" fillId="0" borderId="15" xfId="23" applyFont="1" applyBorder="1" applyAlignment="1">
      <alignment horizontal="center" vertical="center" wrapText="1"/>
    </xf>
    <xf numFmtId="0" fontId="15" fillId="0" borderId="13" xfId="23" applyFont="1" applyBorder="1" applyAlignment="1">
      <alignment horizontal="center" vertical="center" wrapText="1"/>
    </xf>
    <xf numFmtId="0" fontId="15" fillId="0" borderId="8" xfId="23" applyFont="1" applyBorder="1" applyAlignment="1">
      <alignment horizontal="center" vertical="center" wrapText="1"/>
    </xf>
    <xf numFmtId="0" fontId="15" fillId="0" borderId="7" xfId="23" applyFont="1" applyBorder="1" applyAlignment="1">
      <alignment horizontal="center" vertical="center" wrapText="1"/>
    </xf>
    <xf numFmtId="0" fontId="15" fillId="0" borderId="14" xfId="23" applyFont="1" applyBorder="1" applyAlignment="1">
      <alignment horizontal="center" vertical="center" wrapText="1"/>
    </xf>
    <xf numFmtId="0" fontId="11" fillId="0" borderId="0" xfId="21" applyFont="1" applyAlignment="1">
      <alignment horizontal="center"/>
    </xf>
    <xf numFmtId="0" fontId="5" fillId="0" borderId="0" xfId="21" applyFont="1" applyAlignment="1">
      <alignment horizontal="center"/>
    </xf>
    <xf numFmtId="0" fontId="26" fillId="0" borderId="0" xfId="21" applyFont="1" applyAlignment="1">
      <alignment horizontal="center"/>
    </xf>
    <xf numFmtId="0" fontId="31" fillId="0" borderId="0" xfId="21" applyFont="1" applyAlignment="1">
      <alignment horizontal="center"/>
    </xf>
    <xf numFmtId="0" fontId="17" fillId="0" borderId="7" xfId="23" applyFont="1" applyBorder="1" applyAlignment="1">
      <alignment horizontal="right"/>
    </xf>
    <xf numFmtId="0" fontId="15" fillId="0" borderId="2" xfId="23" applyFont="1" applyBorder="1" applyAlignment="1">
      <alignment horizontal="center" vertical="center" wrapText="1"/>
    </xf>
    <xf numFmtId="0" fontId="15" fillId="0" borderId="12" xfId="23" applyFont="1" applyBorder="1" applyAlignment="1">
      <alignment horizontal="center" vertical="top" wrapText="1"/>
    </xf>
    <xf numFmtId="0" fontId="15" fillId="0" borderId="15" xfId="23" applyFont="1" applyBorder="1" applyAlignment="1">
      <alignment horizontal="center" vertical="top" wrapText="1"/>
    </xf>
    <xf numFmtId="0" fontId="15" fillId="0" borderId="13" xfId="23" applyFont="1" applyBorder="1" applyAlignment="1">
      <alignment horizontal="center" vertical="top" wrapText="1"/>
    </xf>
    <xf numFmtId="0" fontId="15" fillId="0" borderId="8" xfId="23" applyFont="1" applyBorder="1" applyAlignment="1">
      <alignment horizontal="center" vertical="top" wrapText="1"/>
    </xf>
    <xf numFmtId="0" fontId="15" fillId="0" borderId="7" xfId="23" applyFont="1" applyBorder="1" applyAlignment="1">
      <alignment horizontal="center" vertical="top" wrapText="1"/>
    </xf>
    <xf numFmtId="0" fontId="15" fillId="0" borderId="14" xfId="23" applyFont="1" applyBorder="1" applyAlignment="1">
      <alignment horizontal="center" vertical="top" wrapText="1"/>
    </xf>
    <xf numFmtId="0" fontId="2" fillId="0" borderId="0" xfId="23" applyFont="1" applyAlignment="1">
      <alignment horizontal="left"/>
    </xf>
    <xf numFmtId="0" fontId="6" fillId="0" borderId="0" xfId="21" applyFont="1" applyAlignment="1">
      <alignment horizontal="right" vertical="top" wrapText="1"/>
    </xf>
    <xf numFmtId="0" fontId="6" fillId="0" borderId="5" xfId="23" applyFont="1" applyBorder="1" applyAlignment="1">
      <alignment horizontal="left" vertical="top" wrapText="1"/>
    </xf>
    <xf numFmtId="0" fontId="6" fillId="0" borderId="9" xfId="23" applyFont="1" applyBorder="1" applyAlignment="1">
      <alignment horizontal="left" vertical="top" wrapText="1"/>
    </xf>
    <xf numFmtId="0" fontId="6" fillId="0" borderId="6" xfId="23" applyFont="1" applyBorder="1" applyAlignment="1">
      <alignment horizontal="left" vertical="top" wrapText="1"/>
    </xf>
    <xf numFmtId="0" fontId="6" fillId="0" borderId="5" xfId="23" applyFont="1" applyBorder="1" applyAlignment="1">
      <alignment horizontal="left" vertical="center" wrapText="1"/>
    </xf>
    <xf numFmtId="0" fontId="6" fillId="0" borderId="9" xfId="23" applyFont="1" applyBorder="1" applyAlignment="1">
      <alignment horizontal="left" vertical="center" wrapText="1"/>
    </xf>
    <xf numFmtId="0" fontId="6" fillId="0" borderId="6" xfId="23" applyFont="1" applyBorder="1" applyAlignment="1">
      <alignment horizontal="left" vertical="center" wrapText="1"/>
    </xf>
    <xf numFmtId="0" fontId="13" fillId="0" borderId="0" xfId="23" applyFont="1" applyAlignment="1">
      <alignment horizontal="left"/>
    </xf>
    <xf numFmtId="0" fontId="2" fillId="0" borderId="0" xfId="7" applyFont="1" applyAlignment="1">
      <alignment horizontal="center" vertical="top" wrapText="1"/>
    </xf>
    <xf numFmtId="0" fontId="2" fillId="0" borderId="0" xfId="7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7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6" fillId="0" borderId="0" xfId="2" applyFont="1" applyAlignment="1">
      <alignment horizontal="right" vertical="top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8" applyFont="1" applyAlignment="1">
      <alignment horizontal="center" vertical="top" wrapText="1"/>
    </xf>
    <xf numFmtId="0" fontId="46" fillId="0" borderId="0" xfId="0" applyFont="1" applyBorder="1" applyAlignment="1">
      <alignment horizontal="left"/>
    </xf>
    <xf numFmtId="0" fontId="7" fillId="0" borderId="0" xfId="0" applyFont="1"/>
    <xf numFmtId="0" fontId="4" fillId="0" borderId="12" xfId="0" applyFont="1" applyBorder="1" applyAlignment="1">
      <alignment horizontal="center" vertical="center" textRotation="45"/>
    </xf>
    <xf numFmtId="0" fontId="4" fillId="0" borderId="15" xfId="0" applyFont="1" applyBorder="1" applyAlignment="1">
      <alignment horizontal="center" vertical="center" textRotation="45"/>
    </xf>
    <xf numFmtId="0" fontId="4" fillId="0" borderId="13" xfId="0" applyFont="1" applyBorder="1" applyAlignment="1">
      <alignment horizontal="center" vertical="center" textRotation="45"/>
    </xf>
    <xf numFmtId="0" fontId="4" fillId="0" borderId="11" xfId="0" applyFont="1" applyBorder="1" applyAlignment="1">
      <alignment horizontal="center" vertical="center" textRotation="45"/>
    </xf>
    <xf numFmtId="0" fontId="4" fillId="0" borderId="0" xfId="0" applyFont="1" applyBorder="1" applyAlignment="1">
      <alignment horizontal="center" vertical="center" textRotation="45"/>
    </xf>
    <xf numFmtId="0" fontId="4" fillId="0" borderId="16" xfId="0" applyFont="1" applyBorder="1" applyAlignment="1">
      <alignment horizontal="center" vertical="center" textRotation="45"/>
    </xf>
    <xf numFmtId="0" fontId="4" fillId="0" borderId="8" xfId="0" applyFont="1" applyBorder="1" applyAlignment="1">
      <alignment horizontal="center" vertical="center" textRotation="45"/>
    </xf>
    <xf numFmtId="0" fontId="4" fillId="0" borderId="7" xfId="0" applyFont="1" applyBorder="1" applyAlignment="1">
      <alignment horizontal="center" vertical="center" textRotation="45"/>
    </xf>
    <xf numFmtId="0" fontId="4" fillId="0" borderId="14" xfId="0" applyFont="1" applyBorder="1" applyAlignment="1">
      <alignment horizontal="center" vertical="center" textRotation="45"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/>
    </xf>
    <xf numFmtId="0" fontId="6" fillId="0" borderId="0" xfId="7" applyFont="1" applyAlignment="1">
      <alignment horizontal="center"/>
    </xf>
    <xf numFmtId="0" fontId="11" fillId="0" borderId="0" xfId="7" applyFont="1" applyAlignment="1">
      <alignment horizontal="center"/>
    </xf>
    <xf numFmtId="0" fontId="2" fillId="2" borderId="2" xfId="7" applyFont="1" applyFill="1" applyBorder="1" applyAlignment="1">
      <alignment horizontal="center" vertical="center" wrapText="1"/>
    </xf>
    <xf numFmtId="0" fontId="8" fillId="0" borderId="0" xfId="7" applyFont="1" applyBorder="1" applyAlignment="1">
      <alignment horizontal="left"/>
    </xf>
    <xf numFmtId="0" fontId="5" fillId="0" borderId="0" xfId="7" applyFont="1" applyAlignment="1">
      <alignment horizontal="center"/>
    </xf>
    <xf numFmtId="0" fontId="4" fillId="0" borderId="12" xfId="0" applyFont="1" applyBorder="1" applyAlignment="1">
      <alignment horizontal="center" vertical="center" textRotation="45" wrapText="1"/>
    </xf>
    <xf numFmtId="0" fontId="4" fillId="0" borderId="15" xfId="0" applyFont="1" applyBorder="1" applyAlignment="1">
      <alignment horizontal="center" vertical="center" textRotation="45" wrapText="1"/>
    </xf>
    <xf numFmtId="0" fontId="4" fillId="0" borderId="13" xfId="0" applyFont="1" applyBorder="1" applyAlignment="1">
      <alignment horizontal="center" vertical="center" textRotation="45" wrapText="1"/>
    </xf>
    <xf numFmtId="0" fontId="4" fillId="0" borderId="11" xfId="0" applyFont="1" applyBorder="1" applyAlignment="1">
      <alignment horizontal="center" vertical="center" textRotation="45" wrapText="1"/>
    </xf>
    <xf numFmtId="0" fontId="4" fillId="0" borderId="0" xfId="0" applyFont="1" applyBorder="1" applyAlignment="1">
      <alignment horizontal="center" vertical="center" textRotation="45" wrapText="1"/>
    </xf>
    <xf numFmtId="0" fontId="4" fillId="0" borderId="16" xfId="0" applyFont="1" applyBorder="1" applyAlignment="1">
      <alignment horizontal="center" vertical="center" textRotation="45" wrapText="1"/>
    </xf>
    <xf numFmtId="0" fontId="4" fillId="0" borderId="8" xfId="0" applyFont="1" applyBorder="1" applyAlignment="1">
      <alignment horizontal="center" vertical="center" textRotation="45" wrapText="1"/>
    </xf>
    <xf numFmtId="0" fontId="4" fillId="0" borderId="7" xfId="0" applyFont="1" applyBorder="1" applyAlignment="1">
      <alignment horizontal="center" vertical="center" textRotation="45" wrapText="1"/>
    </xf>
    <xf numFmtId="0" fontId="4" fillId="0" borderId="14" xfId="0" applyFont="1" applyBorder="1" applyAlignment="1">
      <alignment horizontal="center" vertical="center" textRotation="45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2" applyFont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67" fillId="0" borderId="0" xfId="0" applyFont="1" applyBorder="1" applyAlignment="1">
      <alignment horizontal="center" vertical="top"/>
    </xf>
    <xf numFmtId="0" fontId="64" fillId="0" borderId="2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left"/>
    </xf>
    <xf numFmtId="0" fontId="64" fillId="0" borderId="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4" fillId="0" borderId="3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right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2" fillId="0" borderId="15" xfId="7" applyFont="1" applyBorder="1" applyAlignment="1">
      <alignment horizontal="center" vertical="top" wrapText="1"/>
    </xf>
    <xf numFmtId="0" fontId="2" fillId="0" borderId="2" xfId="7" applyFont="1" applyBorder="1" applyAlignment="1">
      <alignment horizontal="left" vertical="center"/>
    </xf>
    <xf numFmtId="0" fontId="5" fillId="0" borderId="0" xfId="7" applyFont="1" applyAlignment="1"/>
    <xf numFmtId="0" fontId="2" fillId="2" borderId="1" xfId="7" quotePrefix="1" applyFont="1" applyFill="1" applyBorder="1" applyAlignment="1">
      <alignment horizontal="center" vertical="center" wrapText="1"/>
    </xf>
    <xf numFmtId="0" fontId="2" fillId="2" borderId="3" xfId="7" quotePrefix="1" applyFont="1" applyFill="1" applyBorder="1" applyAlignment="1">
      <alignment horizontal="center" vertical="center" wrapText="1"/>
    </xf>
    <xf numFmtId="0" fontId="2" fillId="2" borderId="5" xfId="7" quotePrefix="1" applyFont="1" applyFill="1" applyBorder="1" applyAlignment="1">
      <alignment horizontal="center" vertical="center" wrapText="1"/>
    </xf>
    <xf numFmtId="0" fontId="2" fillId="2" borderId="9" xfId="7" quotePrefix="1" applyFont="1" applyFill="1" applyBorder="1" applyAlignment="1">
      <alignment horizontal="center" vertical="center" wrapText="1"/>
    </xf>
    <xf numFmtId="0" fontId="2" fillId="2" borderId="6" xfId="7" quotePrefix="1" applyFont="1" applyFill="1" applyBorder="1" applyAlignment="1">
      <alignment horizontal="center" vertical="center" wrapText="1"/>
    </xf>
    <xf numFmtId="0" fontId="2" fillId="0" borderId="0" xfId="8" applyFont="1" applyAlignment="1">
      <alignment horizontal="center"/>
    </xf>
    <xf numFmtId="0" fontId="2" fillId="0" borderId="0" xfId="7" applyFont="1" applyAlignment="1">
      <alignment horizontal="left" vertical="top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" fontId="7" fillId="0" borderId="1" xfId="24" applyNumberFormat="1" applyFont="1" applyBorder="1" applyAlignment="1">
      <alignment horizontal="right" vertical="center" wrapText="1"/>
    </xf>
    <xf numFmtId="1" fontId="7" fillId="0" borderId="10" xfId="24" applyNumberFormat="1" applyFont="1" applyBorder="1" applyAlignment="1">
      <alignment horizontal="right" vertical="center" wrapText="1"/>
    </xf>
    <xf numFmtId="1" fontId="7" fillId="0" borderId="3" xfId="24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2" fontId="7" fillId="0" borderId="1" xfId="24" applyNumberFormat="1" applyFont="1" applyBorder="1" applyAlignment="1">
      <alignment horizontal="right" vertical="center" wrapText="1"/>
    </xf>
    <xf numFmtId="2" fontId="7" fillId="0" borderId="10" xfId="24" applyNumberFormat="1" applyFont="1" applyBorder="1" applyAlignment="1">
      <alignment horizontal="right" vertical="center" wrapText="1"/>
    </xf>
    <xf numFmtId="2" fontId="7" fillId="0" borderId="3" xfId="24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60" fillId="0" borderId="5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2" fillId="0" borderId="5" xfId="7" applyFont="1" applyBorder="1" applyAlignment="1">
      <alignment horizontal="center"/>
    </xf>
    <xf numFmtId="0" fontId="2" fillId="0" borderId="6" xfId="7" applyFont="1" applyBorder="1" applyAlignment="1">
      <alignment horizontal="center"/>
    </xf>
    <xf numFmtId="0" fontId="32" fillId="0" borderId="0" xfId="0" applyFont="1" applyAlignment="1">
      <alignment horizontal="right"/>
    </xf>
    <xf numFmtId="0" fontId="10" fillId="0" borderId="7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7" applyFont="1" applyAlignment="1">
      <alignment horizontal="right"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5" fillId="0" borderId="7" xfId="0" applyFont="1" applyBorder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8" xfId="0" applyFont="1" applyBorder="1" applyAlignment="1">
      <alignment horizontal="center" vertical="center" wrapText="1"/>
    </xf>
    <xf numFmtId="0" fontId="100" fillId="0" borderId="7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2" fillId="0" borderId="5" xfId="21" applyFont="1" applyBorder="1" applyAlignment="1">
      <alignment horizontal="center"/>
    </xf>
    <xf numFmtId="0" fontId="2" fillId="0" borderId="6" xfId="21" applyFont="1" applyBorder="1" applyAlignment="1">
      <alignment horizontal="center"/>
    </xf>
    <xf numFmtId="0" fontId="2" fillId="0" borderId="2" xfId="2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21" applyFont="1" applyAlignment="1">
      <alignment horizontal="center"/>
    </xf>
    <xf numFmtId="0" fontId="6" fillId="0" borderId="0" xfId="21" applyFont="1" applyAlignment="1">
      <alignment horizontal="center" vertical="top" wrapText="1"/>
    </xf>
    <xf numFmtId="0" fontId="2" fillId="0" borderId="2" xfId="21" applyFont="1" applyBorder="1" applyAlignment="1">
      <alignment horizontal="center" vertical="center" wrapText="1"/>
    </xf>
    <xf numFmtId="0" fontId="8" fillId="0" borderId="0" xfId="21" applyFont="1" applyAlignment="1">
      <alignment horizontal="center"/>
    </xf>
    <xf numFmtId="0" fontId="2" fillId="0" borderId="5" xfId="21" applyFont="1" applyBorder="1" applyAlignment="1">
      <alignment horizontal="center" vertical="top"/>
    </xf>
    <xf numFmtId="0" fontId="2" fillId="0" borderId="9" xfId="21" applyFont="1" applyBorder="1" applyAlignment="1">
      <alignment horizontal="center" vertical="top"/>
    </xf>
    <xf numFmtId="0" fontId="2" fillId="0" borderId="2" xfId="21" applyFont="1" applyBorder="1" applyAlignment="1">
      <alignment horizontal="center" vertical="top"/>
    </xf>
    <xf numFmtId="0" fontId="7" fillId="0" borderId="0" xfId="21" applyAlignment="1">
      <alignment horizontal="left"/>
    </xf>
    <xf numFmtId="0" fontId="0" fillId="0" borderId="0" xfId="0" applyAlignment="1">
      <alignment horizontal="left"/>
    </xf>
    <xf numFmtId="0" fontId="2" fillId="0" borderId="1" xfId="21" applyFont="1" applyBorder="1" applyAlignment="1">
      <alignment horizontal="center" vertical="top" wrapText="1"/>
    </xf>
    <xf numFmtId="0" fontId="2" fillId="0" borderId="3" xfId="21" applyFont="1" applyBorder="1" applyAlignment="1">
      <alignment horizontal="center" vertical="top" wrapText="1"/>
    </xf>
    <xf numFmtId="0" fontId="6" fillId="0" borderId="5" xfId="21" applyFont="1" applyBorder="1" applyAlignment="1">
      <alignment horizontal="center" vertical="top"/>
    </xf>
    <xf numFmtId="0" fontId="6" fillId="0" borderId="9" xfId="21" applyFont="1" applyBorder="1" applyAlignment="1">
      <alignment horizontal="center" vertical="top"/>
    </xf>
    <xf numFmtId="0" fontId="6" fillId="0" borderId="17" xfId="21" applyFont="1" applyBorder="1" applyAlignment="1">
      <alignment horizontal="center" vertical="top"/>
    </xf>
    <xf numFmtId="0" fontId="4" fillId="0" borderId="0" xfId="21" applyFont="1" applyAlignment="1">
      <alignment horizontal="center"/>
    </xf>
    <xf numFmtId="0" fontId="2" fillId="0" borderId="9" xfId="21" applyFont="1" applyBorder="1" applyAlignment="1">
      <alignment horizontal="center" vertical="top" wrapText="1"/>
    </xf>
    <xf numFmtId="0" fontId="2" fillId="0" borderId="6" xfId="21" applyFont="1" applyBorder="1" applyAlignment="1">
      <alignment horizontal="center" vertical="top" wrapText="1"/>
    </xf>
    <xf numFmtId="0" fontId="2" fillId="0" borderId="5" xfId="21" applyFont="1" applyBorder="1" applyAlignment="1">
      <alignment horizontal="center" vertical="top" wrapText="1"/>
    </xf>
    <xf numFmtId="0" fontId="2" fillId="0" borderId="1" xfId="21" applyFont="1" applyBorder="1" applyAlignment="1">
      <alignment horizontal="center" vertical="center"/>
    </xf>
    <xf numFmtId="0" fontId="2" fillId="0" borderId="3" xfId="21" applyFont="1" applyBorder="1" applyAlignment="1">
      <alignment horizontal="center" vertical="center"/>
    </xf>
    <xf numFmtId="0" fontId="2" fillId="0" borderId="1" xfId="24" applyFont="1" applyBorder="1" applyAlignment="1">
      <alignment horizontal="center" vertical="center"/>
    </xf>
    <xf numFmtId="0" fontId="2" fillId="0" borderId="3" xfId="24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2" fillId="2" borderId="2" xfId="7" quotePrefix="1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17" fillId="0" borderId="0" xfId="7" applyFont="1" applyAlignment="1">
      <alignment horizontal="right"/>
    </xf>
    <xf numFmtId="0" fontId="2" fillId="0" borderId="2" xfId="7" applyFont="1" applyBorder="1" applyAlignment="1">
      <alignment horizontal="left"/>
    </xf>
    <xf numFmtId="0" fontId="63" fillId="0" borderId="0" xfId="0" applyFont="1" applyBorder="1" applyAlignment="1">
      <alignment horizontal="center" vertical="top"/>
    </xf>
    <xf numFmtId="0" fontId="51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92" fillId="0" borderId="8" xfId="0" applyFont="1" applyBorder="1" applyAlignment="1">
      <alignment horizontal="center" vertical="center" wrapText="1"/>
    </xf>
    <xf numFmtId="0" fontId="92" fillId="0" borderId="7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0" xfId="2" applyFont="1" applyAlignment="1">
      <alignment horizontal="center" vertical="top" wrapText="1"/>
    </xf>
    <xf numFmtId="0" fontId="15" fillId="0" borderId="0" xfId="2" applyFont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4" borderId="0" xfId="2" applyFont="1" applyFill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22" fillId="0" borderId="5" xfId="7" applyFont="1" applyBorder="1" applyAlignment="1">
      <alignment horizontal="center" vertical="top" wrapText="1"/>
    </xf>
    <xf numFmtId="0" fontId="22" fillId="0" borderId="9" xfId="7" applyFont="1" applyBorder="1" applyAlignment="1">
      <alignment horizontal="center" vertical="top" wrapText="1"/>
    </xf>
    <xf numFmtId="0" fontId="22" fillId="0" borderId="13" xfId="7" applyFont="1" applyBorder="1" applyAlignment="1">
      <alignment horizontal="center" vertical="top" wrapText="1"/>
    </xf>
    <xf numFmtId="0" fontId="22" fillId="0" borderId="2" xfId="7" applyFont="1" applyBorder="1" applyAlignment="1">
      <alignment horizontal="center" vertical="top" wrapText="1"/>
    </xf>
    <xf numFmtId="0" fontId="22" fillId="0" borderId="6" xfId="7" applyFont="1" applyBorder="1" applyAlignment="1">
      <alignment horizontal="center" vertical="top" wrapText="1"/>
    </xf>
    <xf numFmtId="0" fontId="68" fillId="0" borderId="5" xfId="7" applyFont="1" applyBorder="1" applyAlignment="1">
      <alignment horizontal="center"/>
    </xf>
    <xf numFmtId="0" fontId="68" fillId="0" borderId="6" xfId="7" applyFont="1" applyBorder="1" applyAlignment="1">
      <alignment horizontal="center"/>
    </xf>
    <xf numFmtId="0" fontId="43" fillId="0" borderId="0" xfId="7" applyFont="1" applyAlignment="1">
      <alignment horizontal="center"/>
    </xf>
    <xf numFmtId="0" fontId="22" fillId="0" borderId="1" xfId="7" applyFont="1" applyBorder="1" applyAlignment="1">
      <alignment horizontal="center" vertical="top" wrapText="1"/>
    </xf>
    <xf numFmtId="0" fontId="22" fillId="0" borderId="3" xfId="7" applyFont="1" applyBorder="1" applyAlignment="1">
      <alignment horizontal="center" vertical="top" wrapText="1"/>
    </xf>
    <xf numFmtId="0" fontId="60" fillId="0" borderId="5" xfId="7" applyFont="1" applyBorder="1" applyAlignment="1">
      <alignment horizontal="center"/>
    </xf>
    <xf numFmtId="0" fontId="60" fillId="0" borderId="6" xfId="7" applyFont="1" applyBorder="1" applyAlignment="1">
      <alignment horizontal="center"/>
    </xf>
    <xf numFmtId="0" fontId="29" fillId="0" borderId="0" xfId="7" applyFont="1" applyAlignment="1">
      <alignment horizontal="center"/>
    </xf>
    <xf numFmtId="0" fontId="18" fillId="0" borderId="2" xfId="7" applyFont="1" applyBorder="1" applyAlignment="1">
      <alignment horizontal="center" vertical="top" wrapText="1"/>
    </xf>
    <xf numFmtId="1" fontId="99" fillId="0" borderId="12" xfId="7" applyNumberFormat="1" applyFont="1" applyBorder="1" applyAlignment="1">
      <alignment horizontal="center" vertical="center" wrapText="1"/>
    </xf>
    <xf numFmtId="1" fontId="99" fillId="0" borderId="15" xfId="7" applyNumberFormat="1" applyFont="1" applyBorder="1" applyAlignment="1">
      <alignment horizontal="center" vertical="center" wrapText="1"/>
    </xf>
    <xf numFmtId="1" fontId="99" fillId="0" borderId="13" xfId="7" applyNumberFormat="1" applyFont="1" applyBorder="1" applyAlignment="1">
      <alignment horizontal="center" vertical="center" wrapText="1"/>
    </xf>
    <xf numFmtId="1" fontId="99" fillId="0" borderId="11" xfId="7" applyNumberFormat="1" applyFont="1" applyBorder="1" applyAlignment="1">
      <alignment horizontal="center" vertical="center" wrapText="1"/>
    </xf>
    <xf numFmtId="1" fontId="99" fillId="0" borderId="0" xfId="7" applyNumberFormat="1" applyFont="1" applyBorder="1" applyAlignment="1">
      <alignment horizontal="center" vertical="center" wrapText="1"/>
    </xf>
    <xf numFmtId="1" fontId="99" fillId="0" borderId="16" xfId="7" applyNumberFormat="1" applyFont="1" applyBorder="1" applyAlignment="1">
      <alignment horizontal="center" vertical="center" wrapText="1"/>
    </xf>
    <xf numFmtId="1" fontId="99" fillId="0" borderId="8" xfId="7" applyNumberFormat="1" applyFont="1" applyBorder="1" applyAlignment="1">
      <alignment horizontal="center" vertical="center" wrapText="1"/>
    </xf>
    <xf numFmtId="1" fontId="99" fillId="0" borderId="7" xfId="7" applyNumberFormat="1" applyFont="1" applyBorder="1" applyAlignment="1">
      <alignment horizontal="center" vertical="center" wrapText="1"/>
    </xf>
    <xf numFmtId="1" fontId="99" fillId="0" borderId="14" xfId="7" applyNumberFormat="1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1" fillId="0" borderId="1" xfId="7" applyFont="1" applyBorder="1" applyAlignment="1">
      <alignment horizontal="center" vertical="top" wrapText="1"/>
    </xf>
    <xf numFmtId="0" fontId="21" fillId="0" borderId="3" xfId="7" applyFont="1" applyBorder="1" applyAlignment="1">
      <alignment horizontal="center" vertical="top" wrapText="1"/>
    </xf>
    <xf numFmtId="0" fontId="20" fillId="0" borderId="1" xfId="7" applyFont="1" applyBorder="1" applyAlignment="1">
      <alignment horizontal="center" vertical="top" wrapText="1"/>
    </xf>
    <xf numFmtId="0" fontId="20" fillId="0" borderId="3" xfId="7" applyFont="1" applyBorder="1" applyAlignment="1">
      <alignment horizontal="center" vertical="top" wrapText="1"/>
    </xf>
    <xf numFmtId="0" fontId="20" fillId="0" borderId="5" xfId="7" applyFont="1" applyBorder="1" applyAlignment="1">
      <alignment horizontal="center" vertical="top" wrapText="1"/>
    </xf>
    <xf numFmtId="0" fontId="20" fillId="0" borderId="9" xfId="7" applyFont="1" applyBorder="1" applyAlignment="1">
      <alignment horizontal="center" vertical="top" wrapText="1"/>
    </xf>
    <xf numFmtId="0" fontId="20" fillId="0" borderId="6" xfId="7" applyFont="1" applyBorder="1" applyAlignment="1">
      <alignment horizontal="center" vertical="top" wrapText="1"/>
    </xf>
    <xf numFmtId="0" fontId="18" fillId="0" borderId="5" xfId="7" applyFont="1" applyBorder="1" applyAlignment="1">
      <alignment horizontal="center" vertical="top" wrapText="1"/>
    </xf>
    <xf numFmtId="0" fontId="18" fillId="0" borderId="9" xfId="7" applyFont="1" applyBorder="1" applyAlignment="1">
      <alignment horizontal="center" vertical="top" wrapText="1"/>
    </xf>
    <xf numFmtId="0" fontId="93" fillId="0" borderId="12" xfId="7" applyFont="1" applyBorder="1" applyAlignment="1">
      <alignment horizontal="center" vertical="center"/>
    </xf>
    <xf numFmtId="0" fontId="93" fillId="0" borderId="15" xfId="7" applyFont="1" applyBorder="1" applyAlignment="1">
      <alignment horizontal="center" vertical="center"/>
    </xf>
    <xf numFmtId="0" fontId="93" fillId="0" borderId="13" xfId="7" applyFont="1" applyBorder="1" applyAlignment="1">
      <alignment horizontal="center" vertical="center"/>
    </xf>
    <xf numFmtId="0" fontId="93" fillId="0" borderId="11" xfId="7" applyFont="1" applyBorder="1" applyAlignment="1">
      <alignment horizontal="center" vertical="center"/>
    </xf>
    <xf numFmtId="0" fontId="93" fillId="0" borderId="0" xfId="7" applyFont="1" applyBorder="1" applyAlignment="1">
      <alignment horizontal="center" vertical="center"/>
    </xf>
    <xf numFmtId="0" fontId="93" fillId="0" borderId="16" xfId="7" applyFont="1" applyBorder="1" applyAlignment="1">
      <alignment horizontal="center" vertical="center"/>
    </xf>
    <xf numFmtId="0" fontId="93" fillId="0" borderId="8" xfId="7" applyFont="1" applyBorder="1" applyAlignment="1">
      <alignment horizontal="center" vertical="center"/>
    </xf>
    <xf numFmtId="0" fontId="93" fillId="0" borderId="7" xfId="7" applyFont="1" applyBorder="1" applyAlignment="1">
      <alignment horizontal="center" vertical="center"/>
    </xf>
    <xf numFmtId="0" fontId="93" fillId="0" borderId="14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top"/>
    </xf>
    <xf numFmtId="0" fontId="20" fillId="0" borderId="10" xfId="7" applyFont="1" applyBorder="1" applyAlignment="1">
      <alignment horizontal="center" vertical="top"/>
    </xf>
    <xf numFmtId="0" fontId="20" fillId="0" borderId="3" xfId="7" applyFont="1" applyBorder="1" applyAlignment="1">
      <alignment horizontal="center" vertical="top"/>
    </xf>
    <xf numFmtId="0" fontId="20" fillId="0" borderId="2" xfId="7" applyFont="1" applyBorder="1" applyAlignment="1">
      <alignment horizontal="center" wrapText="1"/>
    </xf>
    <xf numFmtId="0" fontId="20" fillId="0" borderId="5" xfId="7" applyFont="1" applyBorder="1" applyAlignment="1">
      <alignment horizontal="center"/>
    </xf>
    <xf numFmtId="0" fontId="20" fillId="0" borderId="6" xfId="7" applyFont="1" applyBorder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11" xfId="7" applyFont="1" applyBorder="1" applyAlignment="1">
      <alignment horizontal="center" vertical="top" wrapText="1"/>
    </xf>
    <xf numFmtId="0" fontId="22" fillId="0" borderId="16" xfId="7" applyFont="1" applyBorder="1" applyAlignment="1">
      <alignment horizontal="center" vertical="top" wrapText="1"/>
    </xf>
    <xf numFmtId="0" fontId="22" fillId="0" borderId="10" xfId="7" applyFont="1" applyBorder="1" applyAlignment="1">
      <alignment horizontal="center" vertical="top" wrapText="1"/>
    </xf>
    <xf numFmtId="0" fontId="20" fillId="0" borderId="5" xfId="7" applyFont="1" applyBorder="1" applyAlignment="1">
      <alignment horizontal="center" wrapText="1"/>
    </xf>
    <xf numFmtId="0" fontId="20" fillId="0" borderId="9" xfId="7" applyFont="1" applyBorder="1" applyAlignment="1">
      <alignment horizontal="center" wrapText="1"/>
    </xf>
    <xf numFmtId="0" fontId="20" fillId="0" borderId="6" xfId="7" applyFont="1" applyBorder="1" applyAlignment="1">
      <alignment horizontal="center" wrapText="1"/>
    </xf>
    <xf numFmtId="0" fontId="23" fillId="0" borderId="0" xfId="7" applyFont="1" applyAlignment="1">
      <alignment horizontal="center"/>
    </xf>
    <xf numFmtId="0" fontId="22" fillId="0" borderId="12" xfId="7" applyFont="1" applyBorder="1" applyAlignment="1">
      <alignment horizontal="center" vertical="top" wrapText="1"/>
    </xf>
    <xf numFmtId="0" fontId="94" fillId="0" borderId="2" xfId="22" applyFont="1" applyBorder="1" applyAlignment="1">
      <alignment horizontal="center" vertical="top" wrapText="1"/>
    </xf>
    <xf numFmtId="0" fontId="82" fillId="0" borderId="2" xfId="22" applyFont="1" applyBorder="1" applyAlignment="1">
      <alignment horizontal="center" vertical="top" wrapText="1"/>
    </xf>
    <xf numFmtId="0" fontId="2" fillId="0" borderId="2" xfId="22" applyFont="1" applyBorder="1" applyAlignment="1">
      <alignment horizontal="center"/>
    </xf>
    <xf numFmtId="0" fontId="95" fillId="0" borderId="0" xfId="22" applyFont="1" applyAlignment="1">
      <alignment horizontal="right"/>
    </xf>
    <xf numFmtId="0" fontId="81" fillId="0" borderId="0" xfId="22" applyFont="1" applyAlignment="1">
      <alignment horizontal="center"/>
    </xf>
    <xf numFmtId="0" fontId="96" fillId="0" borderId="0" xfId="22" applyFont="1" applyAlignment="1">
      <alignment horizontal="center"/>
    </xf>
    <xf numFmtId="0" fontId="83" fillId="0" borderId="0" xfId="22" applyFont="1" applyAlignment="1">
      <alignment horizontal="left"/>
    </xf>
    <xf numFmtId="0" fontId="82" fillId="0" borderId="7" xfId="22" applyFont="1" applyBorder="1" applyAlignment="1">
      <alignment horizontal="center"/>
    </xf>
    <xf numFmtId="0" fontId="82" fillId="0" borderId="2" xfId="22" applyFont="1" applyBorder="1" applyAlignment="1">
      <alignment horizontal="center" vertical="top"/>
    </xf>
    <xf numFmtId="0" fontId="2" fillId="0" borderId="2" xfId="21" applyFont="1" applyBorder="1" applyAlignment="1">
      <alignment horizontal="center" vertical="center"/>
    </xf>
    <xf numFmtId="0" fontId="53" fillId="0" borderId="12" xfId="21" applyFont="1" applyBorder="1" applyAlignment="1">
      <alignment horizontal="center" vertical="center"/>
    </xf>
    <xf numFmtId="0" fontId="53" fillId="0" borderId="15" xfId="21" applyFont="1" applyBorder="1" applyAlignment="1">
      <alignment horizontal="center" vertical="center"/>
    </xf>
    <xf numFmtId="0" fontId="53" fillId="0" borderId="13" xfId="21" applyFont="1" applyBorder="1" applyAlignment="1">
      <alignment horizontal="center" vertical="center"/>
    </xf>
    <xf numFmtId="0" fontId="53" fillId="0" borderId="11" xfId="21" applyFont="1" applyBorder="1" applyAlignment="1">
      <alignment horizontal="center" vertical="center"/>
    </xf>
    <xf numFmtId="0" fontId="53" fillId="0" borderId="0" xfId="21" applyFont="1" applyBorder="1" applyAlignment="1">
      <alignment horizontal="center" vertical="center"/>
    </xf>
    <xf numFmtId="0" fontId="53" fillId="0" borderId="16" xfId="21" applyFont="1" applyBorder="1" applyAlignment="1">
      <alignment horizontal="center" vertical="center"/>
    </xf>
    <xf numFmtId="0" fontId="53" fillId="0" borderId="8" xfId="21" applyFont="1" applyBorder="1" applyAlignment="1">
      <alignment horizontal="center" vertical="center"/>
    </xf>
    <xf numFmtId="0" fontId="53" fillId="0" borderId="7" xfId="21" applyFont="1" applyBorder="1" applyAlignment="1">
      <alignment horizontal="center" vertical="center"/>
    </xf>
    <xf numFmtId="0" fontId="53" fillId="0" borderId="14" xfId="21" applyFont="1" applyBorder="1" applyAlignment="1">
      <alignment horizontal="center" vertical="center"/>
    </xf>
    <xf numFmtId="0" fontId="7" fillId="0" borderId="0" xfId="21" applyFont="1"/>
    <xf numFmtId="0" fontId="2" fillId="0" borderId="0" xfId="21" applyFont="1" applyAlignment="1">
      <alignment horizontal="center"/>
    </xf>
    <xf numFmtId="0" fontId="12" fillId="0" borderId="0" xfId="21" applyFont="1" applyAlignment="1">
      <alignment horizontal="center"/>
    </xf>
    <xf numFmtId="0" fontId="5" fillId="0" borderId="0" xfId="21" applyFont="1" applyAlignment="1">
      <alignment horizontal="center" wrapText="1"/>
    </xf>
    <xf numFmtId="0" fontId="17" fillId="0" borderId="7" xfId="2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0" fillId="0" borderId="2" xfId="0" applyFont="1" applyBorder="1" applyAlignment="1">
      <alignment horizontal="right" vertical="center"/>
    </xf>
    <xf numFmtId="0" fontId="70" fillId="0" borderId="2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70" fillId="0" borderId="2" xfId="0" applyNumberFormat="1" applyFont="1" applyBorder="1" applyAlignment="1">
      <alignment horizontal="right" vertical="center"/>
    </xf>
    <xf numFmtId="2" fontId="70" fillId="0" borderId="1" xfId="0" applyNumberFormat="1" applyFont="1" applyBorder="1" applyAlignment="1">
      <alignment horizontal="right" vertical="center"/>
    </xf>
    <xf numFmtId="0" fontId="70" fillId="0" borderId="3" xfId="0" applyFont="1" applyBorder="1" applyAlignment="1">
      <alignment horizontal="right" vertical="center"/>
    </xf>
    <xf numFmtId="0" fontId="70" fillId="0" borderId="10" xfId="0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0" fillId="0" borderId="5" xfId="27" applyFont="1" applyBorder="1" applyAlignment="1">
      <alignment horizontal="center" vertical="center" wrapText="1"/>
    </xf>
    <xf numFmtId="0" fontId="60" fillId="0" borderId="6" xfId="27" applyFont="1" applyBorder="1" applyAlignment="1">
      <alignment horizontal="center" vertical="center" wrapText="1"/>
    </xf>
    <xf numFmtId="0" fontId="60" fillId="0" borderId="1" xfId="27" applyFont="1" applyBorder="1" applyAlignment="1">
      <alignment horizontal="center" vertical="center" wrapText="1"/>
    </xf>
    <xf numFmtId="0" fontId="60" fillId="0" borderId="3" xfId="27" applyFont="1" applyBorder="1" applyAlignment="1">
      <alignment horizontal="center" vertical="center" wrapText="1"/>
    </xf>
    <xf numFmtId="0" fontId="60" fillId="0" borderId="2" xfId="27" applyFont="1" applyBorder="1" applyAlignment="1">
      <alignment horizontal="center" vertical="center" wrapText="1"/>
    </xf>
    <xf numFmtId="0" fontId="60" fillId="0" borderId="2" xfId="27" applyFont="1" applyBorder="1" applyAlignment="1">
      <alignment horizontal="center"/>
    </xf>
    <xf numFmtId="0" fontId="67" fillId="0" borderId="0" xfId="27" applyFont="1" applyAlignment="1">
      <alignment horizontal="center"/>
    </xf>
  </cellXfs>
  <cellStyles count="38">
    <cellStyle name="Hyperlink 2" xfId="1"/>
    <cellStyle name="Normal" xfId="0" builtinId="0"/>
    <cellStyle name="Normal 11" xfId="2"/>
    <cellStyle name="Normal 12" xfId="3"/>
    <cellStyle name="Normal 13" xfId="4"/>
    <cellStyle name="Normal 14" xfId="5"/>
    <cellStyle name="Normal 14 2" xfId="6"/>
    <cellStyle name="Normal 2" xfId="7"/>
    <cellStyle name="Normal 2 2" xfId="8"/>
    <cellStyle name="Normal 2 2 2" xfId="9"/>
    <cellStyle name="Normal 2 3" xfId="10"/>
    <cellStyle name="Normal 2 3 2" xfId="11"/>
    <cellStyle name="Normal 2 3 2 2" xfId="12"/>
    <cellStyle name="Normal 2 3 2 3" xfId="13"/>
    <cellStyle name="Normal 2 3 2 4" xfId="14"/>
    <cellStyle name="Normal 2 3 3" xfId="15"/>
    <cellStyle name="Normal 2 4" xfId="16"/>
    <cellStyle name="Normal 2 4 2" xfId="17"/>
    <cellStyle name="Normal 2 5" xfId="18"/>
    <cellStyle name="Normal 2 5 2" xfId="19"/>
    <cellStyle name="Normal 2 6" xfId="20"/>
    <cellStyle name="Normal 3" xfId="21"/>
    <cellStyle name="Normal 3 2" xfId="22"/>
    <cellStyle name="Normal 4" xfId="23"/>
    <cellStyle name="Normal 5" xfId="24"/>
    <cellStyle name="Normal 5 2" xfId="25"/>
    <cellStyle name="Normal 5 3" xfId="26"/>
    <cellStyle name="Normal 6" xfId="27"/>
    <cellStyle name="Normal 6 2" xfId="28"/>
    <cellStyle name="Normal 6 3" xfId="29"/>
    <cellStyle name="Normal 7" xfId="30"/>
    <cellStyle name="Normal 7 2" xfId="31"/>
    <cellStyle name="Normal 7 3" xfId="32"/>
    <cellStyle name="Normal 8" xfId="33"/>
    <cellStyle name="Normal 8 2" xfId="34"/>
    <cellStyle name="Normal 8 3" xfId="35"/>
    <cellStyle name="Percent" xfId="36" builtinId="5"/>
    <cellStyle name="Percent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6</xdr:row>
      <xdr:rowOff>71251</xdr:rowOff>
    </xdr:from>
    <xdr:ext cx="9269752" cy="4551332"/>
    <xdr:sp macro="" textlink="">
      <xdr:nvSpPr>
        <xdr:cNvPr id="2" name="Rectangle 1">
          <a:extLst>
            <a:ext uri="{FF2B5EF4-FFF2-40B4-BE49-F238E27FC236}"/>
          </a:extLst>
        </xdr:cNvPr>
        <xdr:cNvSpPr/>
      </xdr:nvSpPr>
      <xdr:spPr>
        <a:xfrm>
          <a:off x="82550" y="985651"/>
          <a:ext cx="9266085" cy="45440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2019-20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___JHARKHAND____</a:t>
          </a:r>
        </a:p>
        <a:p>
          <a:pPr algn="ctr">
            <a:lnSpc>
              <a:spcPts val="5100"/>
            </a:lnSpc>
          </a:pPr>
          <a:endParaRPr lang="en-US" sz="4400" b="1" cap="none" spc="300" baseline="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17/05/2019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6118294" cy="2628220"/>
    <xdr:sp macro="" textlink="">
      <xdr:nvSpPr>
        <xdr:cNvPr id="2" name="Rectangle 1">
          <a:extLst>
            <a:ext uri="{FF2B5EF4-FFF2-40B4-BE49-F238E27FC236}"/>
          </a:extLst>
        </xdr:cNvPr>
        <xdr:cNvSpPr/>
      </xdr:nvSpPr>
      <xdr:spPr>
        <a:xfrm>
          <a:off x="0" y="531309"/>
          <a:ext cx="6127750" cy="26282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4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0"/>
  <sheetViews>
    <sheetView view="pageBreakPreview" topLeftCell="A7" zoomScale="85" zoomScaleNormal="100" zoomScaleSheetLayoutView="85" workbookViewId="0">
      <selection activeCell="E41" sqref="E41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808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topLeftCell="A10" zoomScale="80" zoomScaleNormal="100" zoomScaleSheetLayoutView="80" workbookViewId="0">
      <selection activeCell="P36" sqref="P36"/>
    </sheetView>
  </sheetViews>
  <sheetFormatPr defaultRowHeight="12.75" x14ac:dyDescent="0.2"/>
  <cols>
    <col min="2" max="2" width="17" bestFit="1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792"/>
      <c r="E1" s="792"/>
      <c r="F1" s="792"/>
      <c r="G1" s="792"/>
      <c r="H1" s="792"/>
      <c r="I1" s="792"/>
      <c r="J1" s="792"/>
      <c r="M1" s="96" t="s">
        <v>244</v>
      </c>
    </row>
    <row r="2" spans="1:19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</row>
    <row r="3" spans="1:19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</row>
    <row r="4" spans="1:19" ht="11.25" customHeight="1" x14ac:dyDescent="0.2"/>
    <row r="5" spans="1:19" ht="15.75" x14ac:dyDescent="0.25">
      <c r="A5" s="790" t="s">
        <v>737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</row>
    <row r="7" spans="1:19" x14ac:dyDescent="0.2">
      <c r="A7" s="33" t="s">
        <v>1098</v>
      </c>
      <c r="B7" s="598"/>
      <c r="L7" s="872" t="s">
        <v>772</v>
      </c>
      <c r="M7" s="872"/>
      <c r="N7" s="872"/>
      <c r="O7" s="105"/>
    </row>
    <row r="8" spans="1:19" ht="15.75" customHeight="1" x14ac:dyDescent="0.2">
      <c r="A8" s="727" t="s">
        <v>1</v>
      </c>
      <c r="B8" s="727" t="s">
        <v>2</v>
      </c>
      <c r="C8" s="725" t="s">
        <v>3</v>
      </c>
      <c r="D8" s="725"/>
      <c r="E8" s="725"/>
      <c r="F8" s="725"/>
      <c r="G8" s="725"/>
      <c r="H8" s="725" t="s">
        <v>97</v>
      </c>
      <c r="I8" s="725"/>
      <c r="J8" s="725"/>
      <c r="K8" s="725"/>
      <c r="L8" s="725"/>
      <c r="M8" s="775" t="s">
        <v>127</v>
      </c>
      <c r="N8" s="775" t="s">
        <v>128</v>
      </c>
    </row>
    <row r="9" spans="1:19" ht="51" x14ac:dyDescent="0.2">
      <c r="A9" s="728"/>
      <c r="B9" s="728"/>
      <c r="C9" s="5" t="s">
        <v>4</v>
      </c>
      <c r="D9" s="5" t="s">
        <v>5</v>
      </c>
      <c r="E9" s="5" t="s">
        <v>350</v>
      </c>
      <c r="F9" s="5" t="s">
        <v>95</v>
      </c>
      <c r="G9" s="5" t="s">
        <v>110</v>
      </c>
      <c r="H9" s="5" t="s">
        <v>4</v>
      </c>
      <c r="I9" s="5" t="s">
        <v>5</v>
      </c>
      <c r="J9" s="5" t="s">
        <v>350</v>
      </c>
      <c r="K9" s="5" t="s">
        <v>95</v>
      </c>
      <c r="L9" s="5" t="s">
        <v>111</v>
      </c>
      <c r="M9" s="775"/>
      <c r="N9" s="775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25">
        <v>12</v>
      </c>
      <c r="M10" s="25">
        <v>13</v>
      </c>
      <c r="N10" s="3">
        <v>14</v>
      </c>
    </row>
    <row r="11" spans="1:19" s="14" customFormat="1" x14ac:dyDescent="0.2">
      <c r="A11" s="8">
        <v>1</v>
      </c>
      <c r="B11" s="184" t="s">
        <v>875</v>
      </c>
      <c r="C11" s="320">
        <v>22</v>
      </c>
      <c r="D11" s="322">
        <v>28</v>
      </c>
      <c r="E11" s="322">
        <v>0</v>
      </c>
      <c r="F11" s="322">
        <v>0</v>
      </c>
      <c r="G11" s="320">
        <f>SUM(C11:F11)</f>
        <v>50</v>
      </c>
      <c r="H11" s="320">
        <v>22</v>
      </c>
      <c r="I11" s="322">
        <v>28</v>
      </c>
      <c r="J11" s="322">
        <v>0</v>
      </c>
      <c r="K11" s="322">
        <v>0</v>
      </c>
      <c r="L11" s="327">
        <f>SUM(H11:K11)</f>
        <v>50</v>
      </c>
      <c r="M11" s="327">
        <f>G11-L11</f>
        <v>0</v>
      </c>
      <c r="N11" s="322"/>
    </row>
    <row r="12" spans="1:19" s="14" customFormat="1" x14ac:dyDescent="0.2">
      <c r="A12" s="8">
        <v>2</v>
      </c>
      <c r="B12" s="184" t="s">
        <v>876</v>
      </c>
      <c r="C12" s="320">
        <v>5</v>
      </c>
      <c r="D12" s="322">
        <v>14</v>
      </c>
      <c r="E12" s="322">
        <v>0</v>
      </c>
      <c r="F12" s="322">
        <v>0</v>
      </c>
      <c r="G12" s="320">
        <f t="shared" ref="G12:G34" si="0">SUM(C12:F12)</f>
        <v>19</v>
      </c>
      <c r="H12" s="320">
        <v>5</v>
      </c>
      <c r="I12" s="322">
        <v>14</v>
      </c>
      <c r="J12" s="322">
        <v>0</v>
      </c>
      <c r="K12" s="322">
        <v>0</v>
      </c>
      <c r="L12" s="327">
        <f t="shared" ref="L12:L34" si="1">SUM(H12:K12)</f>
        <v>19</v>
      </c>
      <c r="M12" s="327">
        <f t="shared" ref="M12:M34" si="2">G12-L12</f>
        <v>0</v>
      </c>
      <c r="N12" s="322"/>
    </row>
    <row r="13" spans="1:19" s="14" customFormat="1" x14ac:dyDescent="0.2">
      <c r="A13" s="8">
        <v>3</v>
      </c>
      <c r="B13" s="184" t="s">
        <v>877</v>
      </c>
      <c r="C13" s="320">
        <v>4</v>
      </c>
      <c r="D13" s="322">
        <v>2</v>
      </c>
      <c r="E13" s="322">
        <v>0</v>
      </c>
      <c r="F13" s="322">
        <v>0</v>
      </c>
      <c r="G13" s="320">
        <f t="shared" si="0"/>
        <v>6</v>
      </c>
      <c r="H13" s="320">
        <v>4</v>
      </c>
      <c r="I13" s="322">
        <v>2</v>
      </c>
      <c r="J13" s="322">
        <v>0</v>
      </c>
      <c r="K13" s="322">
        <v>0</v>
      </c>
      <c r="L13" s="327">
        <f t="shared" si="1"/>
        <v>6</v>
      </c>
      <c r="M13" s="327">
        <f t="shared" si="2"/>
        <v>0</v>
      </c>
      <c r="N13" s="322"/>
    </row>
    <row r="14" spans="1:19" s="14" customFormat="1" x14ac:dyDescent="0.2">
      <c r="A14" s="8">
        <v>4</v>
      </c>
      <c r="B14" s="184" t="s">
        <v>878</v>
      </c>
      <c r="C14" s="320">
        <v>16</v>
      </c>
      <c r="D14" s="322">
        <v>21</v>
      </c>
      <c r="E14" s="322">
        <v>0</v>
      </c>
      <c r="F14" s="322">
        <v>0</v>
      </c>
      <c r="G14" s="320">
        <f t="shared" si="0"/>
        <v>37</v>
      </c>
      <c r="H14" s="320">
        <v>16</v>
      </c>
      <c r="I14" s="322">
        <v>21</v>
      </c>
      <c r="J14" s="322">
        <v>0</v>
      </c>
      <c r="K14" s="322">
        <v>0</v>
      </c>
      <c r="L14" s="327">
        <f t="shared" si="1"/>
        <v>37</v>
      </c>
      <c r="M14" s="327">
        <f t="shared" si="2"/>
        <v>0</v>
      </c>
      <c r="N14" s="322"/>
    </row>
    <row r="15" spans="1:19" s="14" customFormat="1" x14ac:dyDescent="0.2">
      <c r="A15" s="8">
        <v>5</v>
      </c>
      <c r="B15" s="184" t="s">
        <v>879</v>
      </c>
      <c r="C15" s="320">
        <v>22</v>
      </c>
      <c r="D15" s="322">
        <v>16</v>
      </c>
      <c r="E15" s="322">
        <v>0</v>
      </c>
      <c r="F15" s="322">
        <v>0</v>
      </c>
      <c r="G15" s="320">
        <f t="shared" si="0"/>
        <v>38</v>
      </c>
      <c r="H15" s="320">
        <v>22</v>
      </c>
      <c r="I15" s="322">
        <v>16</v>
      </c>
      <c r="J15" s="322">
        <v>0</v>
      </c>
      <c r="K15" s="322">
        <v>0</v>
      </c>
      <c r="L15" s="327">
        <f t="shared" si="1"/>
        <v>38</v>
      </c>
      <c r="M15" s="327">
        <f t="shared" si="2"/>
        <v>0</v>
      </c>
      <c r="N15" s="322"/>
    </row>
    <row r="16" spans="1:19" s="14" customFormat="1" x14ac:dyDescent="0.2">
      <c r="A16" s="8">
        <v>6</v>
      </c>
      <c r="B16" s="184" t="s">
        <v>880</v>
      </c>
      <c r="C16" s="320">
        <v>13</v>
      </c>
      <c r="D16" s="322">
        <v>16</v>
      </c>
      <c r="E16" s="322">
        <v>0</v>
      </c>
      <c r="F16" s="322">
        <v>0</v>
      </c>
      <c r="G16" s="320">
        <f t="shared" si="0"/>
        <v>29</v>
      </c>
      <c r="H16" s="320">
        <v>13</v>
      </c>
      <c r="I16" s="322">
        <v>16</v>
      </c>
      <c r="J16" s="322">
        <v>0</v>
      </c>
      <c r="K16" s="322">
        <v>0</v>
      </c>
      <c r="L16" s="327">
        <f t="shared" si="1"/>
        <v>29</v>
      </c>
      <c r="M16" s="327">
        <f t="shared" si="2"/>
        <v>0</v>
      </c>
      <c r="N16" s="322"/>
    </row>
    <row r="17" spans="1:14" s="14" customFormat="1" x14ac:dyDescent="0.2">
      <c r="A17" s="8">
        <v>7</v>
      </c>
      <c r="B17" s="184" t="s">
        <v>881</v>
      </c>
      <c r="C17" s="320">
        <v>9</v>
      </c>
      <c r="D17" s="322">
        <v>0</v>
      </c>
      <c r="E17" s="322">
        <v>0</v>
      </c>
      <c r="F17" s="322">
        <v>0</v>
      </c>
      <c r="G17" s="320">
        <f t="shared" si="0"/>
        <v>9</v>
      </c>
      <c r="H17" s="320">
        <v>9</v>
      </c>
      <c r="I17" s="322">
        <v>0</v>
      </c>
      <c r="J17" s="322">
        <v>0</v>
      </c>
      <c r="K17" s="322">
        <v>0</v>
      </c>
      <c r="L17" s="327">
        <f t="shared" si="1"/>
        <v>9</v>
      </c>
      <c r="M17" s="327">
        <f t="shared" si="2"/>
        <v>0</v>
      </c>
      <c r="N17" s="322"/>
    </row>
    <row r="18" spans="1:14" s="14" customFormat="1" x14ac:dyDescent="0.2">
      <c r="A18" s="8">
        <v>8</v>
      </c>
      <c r="B18" s="184" t="s">
        <v>882</v>
      </c>
      <c r="C18" s="320">
        <v>9</v>
      </c>
      <c r="D18" s="322">
        <v>10</v>
      </c>
      <c r="E18" s="322">
        <v>0</v>
      </c>
      <c r="F18" s="322">
        <v>0</v>
      </c>
      <c r="G18" s="320">
        <f t="shared" si="0"/>
        <v>19</v>
      </c>
      <c r="H18" s="320">
        <v>9</v>
      </c>
      <c r="I18" s="322">
        <v>10</v>
      </c>
      <c r="J18" s="322">
        <v>0</v>
      </c>
      <c r="K18" s="322">
        <v>0</v>
      </c>
      <c r="L18" s="327">
        <f t="shared" si="1"/>
        <v>19</v>
      </c>
      <c r="M18" s="327">
        <f t="shared" si="2"/>
        <v>0</v>
      </c>
      <c r="N18" s="322"/>
    </row>
    <row r="19" spans="1:14" s="14" customFormat="1" x14ac:dyDescent="0.2">
      <c r="A19" s="8">
        <v>9</v>
      </c>
      <c r="B19" s="184" t="s">
        <v>883</v>
      </c>
      <c r="C19" s="320">
        <v>2</v>
      </c>
      <c r="D19" s="322">
        <v>1</v>
      </c>
      <c r="E19" s="322">
        <v>0</v>
      </c>
      <c r="F19" s="322">
        <v>0</v>
      </c>
      <c r="G19" s="320">
        <f t="shared" si="0"/>
        <v>3</v>
      </c>
      <c r="H19" s="320">
        <v>2</v>
      </c>
      <c r="I19" s="322">
        <v>1</v>
      </c>
      <c r="J19" s="322">
        <v>0</v>
      </c>
      <c r="K19" s="322">
        <v>0</v>
      </c>
      <c r="L19" s="327">
        <f t="shared" si="1"/>
        <v>3</v>
      </c>
      <c r="M19" s="327">
        <f t="shared" si="2"/>
        <v>0</v>
      </c>
      <c r="N19" s="322"/>
    </row>
    <row r="20" spans="1:14" s="14" customFormat="1" x14ac:dyDescent="0.2">
      <c r="A20" s="8">
        <v>10</v>
      </c>
      <c r="B20" s="184" t="s">
        <v>884</v>
      </c>
      <c r="C20" s="320">
        <v>2</v>
      </c>
      <c r="D20" s="322">
        <v>3</v>
      </c>
      <c r="E20" s="322">
        <v>0</v>
      </c>
      <c r="F20" s="322">
        <v>0</v>
      </c>
      <c r="G20" s="320">
        <f t="shared" si="0"/>
        <v>5</v>
      </c>
      <c r="H20" s="320">
        <v>2</v>
      </c>
      <c r="I20" s="322">
        <v>3</v>
      </c>
      <c r="J20" s="322">
        <v>0</v>
      </c>
      <c r="K20" s="322">
        <v>0</v>
      </c>
      <c r="L20" s="327">
        <f t="shared" si="1"/>
        <v>5</v>
      </c>
      <c r="M20" s="327">
        <f t="shared" si="2"/>
        <v>0</v>
      </c>
      <c r="N20" s="322"/>
    </row>
    <row r="21" spans="1:14" s="14" customFormat="1" x14ac:dyDescent="0.2">
      <c r="A21" s="8">
        <v>11</v>
      </c>
      <c r="B21" s="184" t="s">
        <v>885</v>
      </c>
      <c r="C21" s="320">
        <v>0</v>
      </c>
      <c r="D21" s="322">
        <v>0</v>
      </c>
      <c r="E21" s="322">
        <v>0</v>
      </c>
      <c r="F21" s="322">
        <v>0</v>
      </c>
      <c r="G21" s="320">
        <f t="shared" si="0"/>
        <v>0</v>
      </c>
      <c r="H21" s="320">
        <v>0</v>
      </c>
      <c r="I21" s="322">
        <v>0</v>
      </c>
      <c r="J21" s="322">
        <v>0</v>
      </c>
      <c r="K21" s="322">
        <v>0</v>
      </c>
      <c r="L21" s="327">
        <f t="shared" si="1"/>
        <v>0</v>
      </c>
      <c r="M21" s="327">
        <f t="shared" si="2"/>
        <v>0</v>
      </c>
      <c r="N21" s="322"/>
    </row>
    <row r="22" spans="1:14" s="14" customFormat="1" x14ac:dyDescent="0.2">
      <c r="A22" s="8">
        <v>12</v>
      </c>
      <c r="B22" s="241" t="s">
        <v>886</v>
      </c>
      <c r="C22" s="320">
        <v>3</v>
      </c>
      <c r="D22" s="322">
        <v>7</v>
      </c>
      <c r="E22" s="322">
        <v>0</v>
      </c>
      <c r="F22" s="322">
        <v>0</v>
      </c>
      <c r="G22" s="320">
        <f t="shared" si="0"/>
        <v>10</v>
      </c>
      <c r="H22" s="320">
        <v>3</v>
      </c>
      <c r="I22" s="322">
        <v>7</v>
      </c>
      <c r="J22" s="322">
        <v>0</v>
      </c>
      <c r="K22" s="322">
        <v>0</v>
      </c>
      <c r="L22" s="327">
        <f t="shared" si="1"/>
        <v>10</v>
      </c>
      <c r="M22" s="327">
        <f t="shared" si="2"/>
        <v>0</v>
      </c>
      <c r="N22" s="322"/>
    </row>
    <row r="23" spans="1:14" s="14" customFormat="1" x14ac:dyDescent="0.2">
      <c r="A23" s="8">
        <v>13</v>
      </c>
      <c r="B23" s="184" t="s">
        <v>887</v>
      </c>
      <c r="C23" s="320">
        <v>0</v>
      </c>
      <c r="D23" s="322">
        <v>0</v>
      </c>
      <c r="E23" s="322">
        <v>0</v>
      </c>
      <c r="F23" s="322">
        <v>0</v>
      </c>
      <c r="G23" s="320">
        <f t="shared" si="0"/>
        <v>0</v>
      </c>
      <c r="H23" s="320">
        <v>0</v>
      </c>
      <c r="I23" s="322">
        <v>0</v>
      </c>
      <c r="J23" s="322">
        <v>0</v>
      </c>
      <c r="K23" s="322">
        <v>0</v>
      </c>
      <c r="L23" s="327">
        <f t="shared" si="1"/>
        <v>0</v>
      </c>
      <c r="M23" s="327">
        <f t="shared" si="2"/>
        <v>0</v>
      </c>
      <c r="N23" s="322"/>
    </row>
    <row r="24" spans="1:14" x14ac:dyDescent="0.2">
      <c r="A24" s="8">
        <v>14</v>
      </c>
      <c r="B24" s="184" t="s">
        <v>888</v>
      </c>
      <c r="C24" s="322">
        <v>0</v>
      </c>
      <c r="D24" s="322">
        <v>0</v>
      </c>
      <c r="E24" s="322">
        <v>0</v>
      </c>
      <c r="F24" s="322">
        <v>0</v>
      </c>
      <c r="G24" s="320">
        <f t="shared" si="0"/>
        <v>0</v>
      </c>
      <c r="H24" s="322">
        <v>0</v>
      </c>
      <c r="I24" s="322">
        <v>0</v>
      </c>
      <c r="J24" s="322">
        <v>0</v>
      </c>
      <c r="K24" s="322">
        <v>0</v>
      </c>
      <c r="L24" s="327">
        <f t="shared" si="1"/>
        <v>0</v>
      </c>
      <c r="M24" s="327">
        <f t="shared" si="2"/>
        <v>0</v>
      </c>
      <c r="N24" s="322"/>
    </row>
    <row r="25" spans="1:14" x14ac:dyDescent="0.2">
      <c r="A25" s="8">
        <v>15</v>
      </c>
      <c r="B25" s="184" t="s">
        <v>889</v>
      </c>
      <c r="C25" s="322">
        <v>2</v>
      </c>
      <c r="D25" s="322">
        <v>0</v>
      </c>
      <c r="E25" s="322">
        <v>0</v>
      </c>
      <c r="F25" s="322">
        <v>0</v>
      </c>
      <c r="G25" s="320">
        <f t="shared" si="0"/>
        <v>2</v>
      </c>
      <c r="H25" s="322">
        <v>2</v>
      </c>
      <c r="I25" s="322">
        <v>0</v>
      </c>
      <c r="J25" s="322">
        <v>0</v>
      </c>
      <c r="K25" s="322">
        <v>0</v>
      </c>
      <c r="L25" s="327">
        <f t="shared" si="1"/>
        <v>2</v>
      </c>
      <c r="M25" s="327">
        <f t="shared" si="2"/>
        <v>0</v>
      </c>
      <c r="N25" s="322"/>
    </row>
    <row r="26" spans="1:14" x14ac:dyDescent="0.2">
      <c r="A26" s="8">
        <v>16</v>
      </c>
      <c r="B26" s="184" t="s">
        <v>890</v>
      </c>
      <c r="C26" s="322">
        <v>11</v>
      </c>
      <c r="D26" s="322">
        <v>3</v>
      </c>
      <c r="E26" s="322">
        <v>0</v>
      </c>
      <c r="F26" s="322">
        <v>0</v>
      </c>
      <c r="G26" s="320">
        <f t="shared" si="0"/>
        <v>14</v>
      </c>
      <c r="H26" s="322">
        <v>11</v>
      </c>
      <c r="I26" s="322">
        <v>3</v>
      </c>
      <c r="J26" s="322">
        <v>0</v>
      </c>
      <c r="K26" s="322">
        <v>0</v>
      </c>
      <c r="L26" s="327">
        <f t="shared" si="1"/>
        <v>14</v>
      </c>
      <c r="M26" s="327">
        <f t="shared" si="2"/>
        <v>0</v>
      </c>
      <c r="N26" s="322"/>
    </row>
    <row r="27" spans="1:14" x14ac:dyDescent="0.2">
      <c r="A27" s="8">
        <v>17</v>
      </c>
      <c r="B27" s="184" t="s">
        <v>891</v>
      </c>
      <c r="C27" s="322">
        <v>1</v>
      </c>
      <c r="D27" s="322">
        <v>1</v>
      </c>
      <c r="E27" s="322">
        <v>0</v>
      </c>
      <c r="F27" s="322">
        <v>0</v>
      </c>
      <c r="G27" s="320">
        <f t="shared" si="0"/>
        <v>2</v>
      </c>
      <c r="H27" s="322">
        <v>1</v>
      </c>
      <c r="I27" s="322">
        <v>1</v>
      </c>
      <c r="J27" s="322">
        <v>0</v>
      </c>
      <c r="K27" s="322">
        <v>0</v>
      </c>
      <c r="L27" s="327">
        <f t="shared" si="1"/>
        <v>2</v>
      </c>
      <c r="M27" s="327">
        <f t="shared" si="2"/>
        <v>0</v>
      </c>
      <c r="N27" s="322"/>
    </row>
    <row r="28" spans="1:14" x14ac:dyDescent="0.2">
      <c r="A28" s="8">
        <v>18</v>
      </c>
      <c r="B28" s="184" t="s">
        <v>892</v>
      </c>
      <c r="C28" s="322">
        <v>1</v>
      </c>
      <c r="D28" s="322">
        <v>1</v>
      </c>
      <c r="E28" s="322">
        <v>0</v>
      </c>
      <c r="F28" s="322">
        <v>0</v>
      </c>
      <c r="G28" s="320">
        <f t="shared" si="0"/>
        <v>2</v>
      </c>
      <c r="H28" s="322">
        <v>1</v>
      </c>
      <c r="I28" s="322">
        <v>1</v>
      </c>
      <c r="J28" s="322">
        <v>0</v>
      </c>
      <c r="K28" s="322">
        <v>0</v>
      </c>
      <c r="L28" s="327">
        <f t="shared" si="1"/>
        <v>2</v>
      </c>
      <c r="M28" s="327">
        <f t="shared" si="2"/>
        <v>0</v>
      </c>
      <c r="N28" s="322"/>
    </row>
    <row r="29" spans="1:14" x14ac:dyDescent="0.2">
      <c r="A29" s="8">
        <v>19</v>
      </c>
      <c r="B29" s="184" t="s">
        <v>893</v>
      </c>
      <c r="C29" s="322">
        <v>5</v>
      </c>
      <c r="D29" s="322">
        <v>3</v>
      </c>
      <c r="E29" s="322">
        <v>0</v>
      </c>
      <c r="F29" s="322">
        <v>0</v>
      </c>
      <c r="G29" s="320">
        <f t="shared" si="0"/>
        <v>8</v>
      </c>
      <c r="H29" s="322">
        <v>5</v>
      </c>
      <c r="I29" s="322">
        <v>3</v>
      </c>
      <c r="J29" s="322">
        <v>0</v>
      </c>
      <c r="K29" s="322">
        <v>0</v>
      </c>
      <c r="L29" s="327">
        <f t="shared" si="1"/>
        <v>8</v>
      </c>
      <c r="M29" s="327">
        <f t="shared" si="2"/>
        <v>0</v>
      </c>
      <c r="N29" s="322"/>
    </row>
    <row r="30" spans="1:14" x14ac:dyDescent="0.2">
      <c r="A30" s="8">
        <v>20</v>
      </c>
      <c r="B30" s="184" t="s">
        <v>894</v>
      </c>
      <c r="C30" s="322">
        <v>1</v>
      </c>
      <c r="D30" s="322">
        <v>1</v>
      </c>
      <c r="E30" s="322">
        <v>0</v>
      </c>
      <c r="F30" s="322">
        <v>0</v>
      </c>
      <c r="G30" s="320">
        <f t="shared" si="0"/>
        <v>2</v>
      </c>
      <c r="H30" s="322">
        <v>1</v>
      </c>
      <c r="I30" s="322">
        <v>1</v>
      </c>
      <c r="J30" s="322">
        <v>0</v>
      </c>
      <c r="K30" s="322">
        <v>0</v>
      </c>
      <c r="L30" s="327">
        <f t="shared" si="1"/>
        <v>2</v>
      </c>
      <c r="M30" s="327">
        <f t="shared" si="2"/>
        <v>0</v>
      </c>
      <c r="N30" s="322"/>
    </row>
    <row r="31" spans="1:14" x14ac:dyDescent="0.2">
      <c r="A31" s="8">
        <v>21</v>
      </c>
      <c r="B31" s="184" t="s">
        <v>895</v>
      </c>
      <c r="C31" s="322">
        <v>5</v>
      </c>
      <c r="D31" s="322">
        <v>0</v>
      </c>
      <c r="E31" s="322">
        <v>0</v>
      </c>
      <c r="F31" s="322">
        <v>7</v>
      </c>
      <c r="G31" s="320">
        <f t="shared" si="0"/>
        <v>12</v>
      </c>
      <c r="H31" s="322">
        <v>5</v>
      </c>
      <c r="I31" s="322">
        <v>0</v>
      </c>
      <c r="J31" s="322">
        <v>0</v>
      </c>
      <c r="K31" s="322">
        <v>7</v>
      </c>
      <c r="L31" s="327">
        <f t="shared" si="1"/>
        <v>12</v>
      </c>
      <c r="M31" s="327">
        <f t="shared" si="2"/>
        <v>0</v>
      </c>
      <c r="N31" s="322"/>
    </row>
    <row r="32" spans="1:14" x14ac:dyDescent="0.2">
      <c r="A32" s="8">
        <v>22</v>
      </c>
      <c r="B32" s="184" t="s">
        <v>896</v>
      </c>
      <c r="C32" s="322">
        <v>7</v>
      </c>
      <c r="D32" s="322">
        <v>1</v>
      </c>
      <c r="E32" s="322">
        <v>0</v>
      </c>
      <c r="F32" s="322">
        <v>0</v>
      </c>
      <c r="G32" s="320">
        <f t="shared" si="0"/>
        <v>8</v>
      </c>
      <c r="H32" s="322">
        <v>7</v>
      </c>
      <c r="I32" s="322">
        <v>1</v>
      </c>
      <c r="J32" s="322">
        <v>0</v>
      </c>
      <c r="K32" s="322">
        <v>0</v>
      </c>
      <c r="L32" s="327">
        <f t="shared" si="1"/>
        <v>8</v>
      </c>
      <c r="M32" s="327">
        <f t="shared" si="2"/>
        <v>0</v>
      </c>
      <c r="N32" s="322"/>
    </row>
    <row r="33" spans="1:14" x14ac:dyDescent="0.2">
      <c r="A33" s="8">
        <v>23</v>
      </c>
      <c r="B33" s="184" t="s">
        <v>897</v>
      </c>
      <c r="C33" s="322">
        <v>3</v>
      </c>
      <c r="D33" s="322">
        <v>1</v>
      </c>
      <c r="E33" s="322">
        <v>0</v>
      </c>
      <c r="F33" s="322">
        <v>0</v>
      </c>
      <c r="G33" s="320">
        <f t="shared" si="0"/>
        <v>4</v>
      </c>
      <c r="H33" s="322">
        <v>3</v>
      </c>
      <c r="I33" s="322">
        <v>1</v>
      </c>
      <c r="J33" s="322">
        <v>0</v>
      </c>
      <c r="K33" s="322">
        <v>0</v>
      </c>
      <c r="L33" s="327">
        <f t="shared" si="1"/>
        <v>4</v>
      </c>
      <c r="M33" s="327">
        <f t="shared" si="2"/>
        <v>0</v>
      </c>
      <c r="N33" s="322"/>
    </row>
    <row r="34" spans="1:14" x14ac:dyDescent="0.2">
      <c r="A34" s="8">
        <v>24</v>
      </c>
      <c r="B34" s="184" t="s">
        <v>898</v>
      </c>
      <c r="C34" s="322">
        <v>16</v>
      </c>
      <c r="D34" s="322">
        <v>0</v>
      </c>
      <c r="E34" s="322">
        <v>0</v>
      </c>
      <c r="F34" s="322">
        <v>0</v>
      </c>
      <c r="G34" s="320">
        <f t="shared" si="0"/>
        <v>16</v>
      </c>
      <c r="H34" s="322">
        <v>16</v>
      </c>
      <c r="I34" s="322">
        <v>0</v>
      </c>
      <c r="J34" s="322">
        <v>0</v>
      </c>
      <c r="K34" s="322">
        <v>0</v>
      </c>
      <c r="L34" s="327">
        <f t="shared" si="1"/>
        <v>16</v>
      </c>
      <c r="M34" s="327">
        <f t="shared" si="2"/>
        <v>0</v>
      </c>
      <c r="N34" s="322"/>
    </row>
    <row r="35" spans="1:14" s="14" customFormat="1" x14ac:dyDescent="0.2">
      <c r="A35" s="733" t="s">
        <v>15</v>
      </c>
      <c r="B35" s="735"/>
      <c r="C35" s="324">
        <f>SUM(C11:C34)</f>
        <v>159</v>
      </c>
      <c r="D35" s="324">
        <f>SUM(D11:D34)</f>
        <v>129</v>
      </c>
      <c r="E35" s="324">
        <f>SUM(E11:E34)</f>
        <v>0</v>
      </c>
      <c r="F35" s="324">
        <f>SUM(F11:F34)</f>
        <v>7</v>
      </c>
      <c r="G35" s="324">
        <f>SUM(C35:F35)</f>
        <v>295</v>
      </c>
      <c r="H35" s="324">
        <f>SUM(H11:H34)</f>
        <v>159</v>
      </c>
      <c r="I35" s="324">
        <f>SUM(I11:I34)</f>
        <v>129</v>
      </c>
      <c r="J35" s="324">
        <f>SUM(J11:J34)</f>
        <v>0</v>
      </c>
      <c r="K35" s="324">
        <f>SUM(K11:K34)</f>
        <v>7</v>
      </c>
      <c r="L35" s="324">
        <f>SUM(H35:K35)</f>
        <v>295</v>
      </c>
      <c r="M35" s="324">
        <f>SUM(M11:M34)</f>
        <v>0</v>
      </c>
      <c r="N35" s="324"/>
    </row>
    <row r="36" spans="1:14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">
      <c r="A37" s="10" t="s">
        <v>7</v>
      </c>
    </row>
    <row r="38" spans="1:14" x14ac:dyDescent="0.2">
      <c r="A38" t="s">
        <v>8</v>
      </c>
    </row>
    <row r="39" spans="1:14" x14ac:dyDescent="0.2">
      <c r="A39" t="s">
        <v>9</v>
      </c>
      <c r="K39" s="11" t="s">
        <v>10</v>
      </c>
      <c r="L39" s="11" t="s">
        <v>10</v>
      </c>
      <c r="M39" s="11"/>
      <c r="N39" s="11" t="s">
        <v>10</v>
      </c>
    </row>
    <row r="40" spans="1:14" x14ac:dyDescent="0.2">
      <c r="A40" s="15" t="s">
        <v>422</v>
      </c>
      <c r="J40" s="11"/>
      <c r="K40" s="11"/>
      <c r="L40" s="11"/>
    </row>
    <row r="41" spans="1:14" x14ac:dyDescent="0.2">
      <c r="C41" s="15" t="s">
        <v>423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4" x14ac:dyDescent="0.2"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.75" x14ac:dyDescent="0.25">
      <c r="A43" s="674" t="s">
        <v>11</v>
      </c>
      <c r="B43" s="674"/>
      <c r="C43" s="674"/>
      <c r="D43" s="674"/>
      <c r="E43" s="674"/>
      <c r="F43" s="674"/>
      <c r="G43" s="674"/>
      <c r="H43" s="674"/>
      <c r="I43" s="669"/>
      <c r="J43" s="669"/>
      <c r="K43" s="670"/>
      <c r="L43" s="873" t="s">
        <v>1107</v>
      </c>
      <c r="M43" s="873"/>
      <c r="N43" s="873"/>
    </row>
    <row r="44" spans="1:14" ht="15.75" customHeight="1" x14ac:dyDescent="0.2">
      <c r="A44" s="873" t="s">
        <v>1108</v>
      </c>
      <c r="B44" s="873"/>
      <c r="C44" s="873"/>
      <c r="D44" s="873"/>
      <c r="E44" s="873"/>
      <c r="F44" s="873"/>
      <c r="G44" s="873"/>
      <c r="H44" s="873"/>
      <c r="I44" s="873"/>
      <c r="J44" s="873"/>
      <c r="K44" s="873"/>
      <c r="L44" s="873"/>
      <c r="M44" s="873"/>
      <c r="N44" s="873"/>
    </row>
    <row r="45" spans="1:14" ht="15.75" customHeight="1" x14ac:dyDescent="0.2">
      <c r="A45" s="873" t="s">
        <v>1112</v>
      </c>
      <c r="B45" s="873"/>
      <c r="C45" s="873"/>
      <c r="D45" s="873"/>
      <c r="E45" s="873"/>
      <c r="F45" s="873"/>
      <c r="G45" s="873"/>
      <c r="H45" s="873"/>
      <c r="I45" s="873"/>
      <c r="J45" s="873"/>
      <c r="K45" s="873"/>
      <c r="L45" s="873"/>
      <c r="M45" s="873"/>
      <c r="N45" s="873"/>
    </row>
    <row r="46" spans="1:14" ht="15.75" customHeight="1" x14ac:dyDescent="0.2">
      <c r="A46" s="669"/>
      <c r="B46" s="669"/>
      <c r="C46" s="669"/>
      <c r="D46" s="669"/>
      <c r="E46" s="669"/>
      <c r="F46" s="669"/>
      <c r="G46" s="669"/>
      <c r="H46" s="669"/>
      <c r="I46" s="669"/>
      <c r="J46" s="669"/>
      <c r="K46" s="756" t="s">
        <v>1110</v>
      </c>
      <c r="L46" s="756"/>
      <c r="M46" s="756"/>
      <c r="N46" s="756"/>
    </row>
    <row r="47" spans="1:14" x14ac:dyDescent="0.2">
      <c r="A47" s="876"/>
      <c r="B47" s="876"/>
      <c r="C47" s="876"/>
      <c r="D47" s="876"/>
      <c r="E47" s="876"/>
      <c r="F47" s="876"/>
      <c r="G47" s="876"/>
      <c r="H47" s="876"/>
      <c r="I47" s="876"/>
      <c r="J47" s="876"/>
      <c r="K47" s="876"/>
      <c r="L47" s="876"/>
      <c r="M47" s="876"/>
      <c r="N47" s="876"/>
    </row>
  </sheetData>
  <mergeCells count="17">
    <mergeCell ref="D1:J1"/>
    <mergeCell ref="A2:N2"/>
    <mergeCell ref="A3:N3"/>
    <mergeCell ref="A5:N5"/>
    <mergeCell ref="L7:N7"/>
    <mergeCell ref="M8:M9"/>
    <mergeCell ref="H8:L8"/>
    <mergeCell ref="A47:N47"/>
    <mergeCell ref="N8:N9"/>
    <mergeCell ref="A8:A9"/>
    <mergeCell ref="B8:B9"/>
    <mergeCell ref="C8:G8"/>
    <mergeCell ref="A35:B35"/>
    <mergeCell ref="L43:N43"/>
    <mergeCell ref="A44:N44"/>
    <mergeCell ref="A45:N45"/>
    <mergeCell ref="K46:N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view="pageBreakPreview" topLeftCell="A19" zoomScale="85" zoomScaleNormal="100" zoomScaleSheetLayoutView="85" workbookViewId="0">
      <selection activeCell="I37" sqref="I37"/>
    </sheetView>
  </sheetViews>
  <sheetFormatPr defaultRowHeight="12.75" x14ac:dyDescent="0.2"/>
  <cols>
    <col min="1" max="1" width="7.140625" style="15" customWidth="1"/>
    <col min="2" max="2" width="17" style="15" bestFit="1" customWidth="1"/>
    <col min="3" max="3" width="10.28515625" style="15" customWidth="1"/>
    <col min="4" max="4" width="9.28515625" style="15" customWidth="1"/>
    <col min="5" max="6" width="9.140625" style="15"/>
    <col min="7" max="7" width="11.7109375" style="15" customWidth="1"/>
    <col min="8" max="8" width="11" style="15" customWidth="1"/>
    <col min="9" max="9" width="9.7109375" style="15" customWidth="1"/>
    <col min="10" max="10" width="9.5703125" style="15" customWidth="1"/>
    <col min="11" max="11" width="11.7109375" style="15" customWidth="1"/>
    <col min="12" max="12" width="10.7109375" style="15" customWidth="1"/>
    <col min="13" max="13" width="12.42578125" style="15" customWidth="1"/>
    <col min="14" max="14" width="11.140625" style="15" customWidth="1"/>
    <col min="15" max="15" width="10.85546875" style="15" customWidth="1"/>
    <col min="16" max="16" width="11.7109375" style="15" customWidth="1"/>
    <col min="17" max="17" width="12" style="15" customWidth="1"/>
    <col min="18" max="18" width="9.140625" style="15"/>
    <col min="19" max="19" width="9.85546875" style="15" bestFit="1" customWidth="1"/>
    <col min="20" max="16384" width="9.140625" style="15"/>
  </cols>
  <sheetData>
    <row r="1" spans="1:22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787" t="s">
        <v>56</v>
      </c>
      <c r="P1" s="787"/>
      <c r="Q1" s="787"/>
    </row>
    <row r="2" spans="1:22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41"/>
      <c r="N2" s="41"/>
      <c r="O2" s="41"/>
      <c r="P2" s="41"/>
    </row>
    <row r="3" spans="1:22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40"/>
      <c r="N3" s="40"/>
      <c r="O3" s="40"/>
      <c r="P3" s="40"/>
    </row>
    <row r="4" spans="1:22" customFormat="1" ht="11.25" customHeight="1" x14ac:dyDescent="0.2"/>
    <row r="5" spans="1:22" customFormat="1" ht="15.75" customHeight="1" x14ac:dyDescent="0.25">
      <c r="A5" s="880" t="s">
        <v>738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15"/>
    </row>
    <row r="7" spans="1:22" ht="17.45" customHeight="1" x14ac:dyDescent="0.2">
      <c r="A7" s="33" t="s">
        <v>1098</v>
      </c>
      <c r="B7" s="598"/>
      <c r="N7" s="870" t="s">
        <v>770</v>
      </c>
      <c r="O7" s="870"/>
      <c r="P7" s="870"/>
      <c r="Q7" s="870"/>
    </row>
    <row r="8" spans="1:22" ht="24" customHeight="1" x14ac:dyDescent="0.2">
      <c r="A8" s="775" t="s">
        <v>1</v>
      </c>
      <c r="B8" s="775" t="s">
        <v>2</v>
      </c>
      <c r="C8" s="776" t="s">
        <v>777</v>
      </c>
      <c r="D8" s="776"/>
      <c r="E8" s="776"/>
      <c r="F8" s="776"/>
      <c r="G8" s="776"/>
      <c r="H8" s="823" t="s">
        <v>629</v>
      </c>
      <c r="I8" s="776"/>
      <c r="J8" s="776"/>
      <c r="K8" s="776"/>
      <c r="L8" s="776"/>
      <c r="M8" s="881" t="s">
        <v>105</v>
      </c>
      <c r="N8" s="882"/>
      <c r="O8" s="882"/>
      <c r="P8" s="882"/>
      <c r="Q8" s="883"/>
    </row>
    <row r="9" spans="1:22" s="14" customFormat="1" ht="60" customHeight="1" x14ac:dyDescent="0.2">
      <c r="A9" s="775"/>
      <c r="B9" s="775"/>
      <c r="C9" s="5" t="s">
        <v>204</v>
      </c>
      <c r="D9" s="5" t="s">
        <v>205</v>
      </c>
      <c r="E9" s="5" t="s">
        <v>350</v>
      </c>
      <c r="F9" s="5" t="s">
        <v>211</v>
      </c>
      <c r="G9" s="5" t="s">
        <v>110</v>
      </c>
      <c r="H9" s="95" t="s">
        <v>204</v>
      </c>
      <c r="I9" s="5" t="s">
        <v>205</v>
      </c>
      <c r="J9" s="5" t="s">
        <v>350</v>
      </c>
      <c r="K9" s="5" t="s">
        <v>211</v>
      </c>
      <c r="L9" s="5" t="s">
        <v>353</v>
      </c>
      <c r="M9" s="5" t="s">
        <v>204</v>
      </c>
      <c r="N9" s="5" t="s">
        <v>205</v>
      </c>
      <c r="O9" s="5" t="s">
        <v>350</v>
      </c>
      <c r="P9" s="5" t="s">
        <v>211</v>
      </c>
      <c r="Q9" s="5" t="s">
        <v>112</v>
      </c>
      <c r="R9" s="29"/>
    </row>
    <row r="10" spans="1:22" s="60" customFormat="1" x14ac:dyDescent="0.2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</row>
    <row r="11" spans="1:22" ht="15" x14ac:dyDescent="0.2">
      <c r="A11" s="17">
        <v>1</v>
      </c>
      <c r="B11" s="184" t="s">
        <v>875</v>
      </c>
      <c r="C11" s="336">
        <v>136715</v>
      </c>
      <c r="D11" s="336">
        <v>29871</v>
      </c>
      <c r="E11" s="336">
        <v>858</v>
      </c>
      <c r="F11" s="336">
        <v>235</v>
      </c>
      <c r="G11" s="18">
        <f>SUM(C11:F11)</f>
        <v>167679</v>
      </c>
      <c r="H11" s="364">
        <f>M11/R11</f>
        <v>96471.835999999996</v>
      </c>
      <c r="I11" s="364">
        <f>N11/R11</f>
        <v>21046.664000000001</v>
      </c>
      <c r="J11" s="348">
        <f>'enrolment vs availed_PY'!O11/'enrolment vs availed_UPY'!T11</f>
        <v>546.2421875</v>
      </c>
      <c r="K11" s="348">
        <f>P11/R11</f>
        <v>116.336</v>
      </c>
      <c r="L11" s="348">
        <f>SUM(H11:K11)</f>
        <v>118181.0781875</v>
      </c>
      <c r="M11" s="18">
        <v>24117959</v>
      </c>
      <c r="N11" s="18">
        <v>5261666</v>
      </c>
      <c r="O11" s="18">
        <v>139838</v>
      </c>
      <c r="P11" s="18">
        <v>29084</v>
      </c>
      <c r="Q11" s="18">
        <f>SUM(M11:P11)</f>
        <v>29548547</v>
      </c>
      <c r="R11" s="15">
        <v>250</v>
      </c>
      <c r="T11" s="15">
        <v>252</v>
      </c>
      <c r="V11" s="15">
        <f>G11+'enrolment vs availed_UPY'!G11</f>
        <v>251822</v>
      </c>
    </row>
    <row r="12" spans="1:22" ht="15" x14ac:dyDescent="0.2">
      <c r="A12" s="17">
        <v>2</v>
      </c>
      <c r="B12" s="184" t="s">
        <v>876</v>
      </c>
      <c r="C12" s="336">
        <v>42294</v>
      </c>
      <c r="D12" s="336">
        <v>15928</v>
      </c>
      <c r="E12" s="336">
        <v>0</v>
      </c>
      <c r="F12" s="336">
        <v>0</v>
      </c>
      <c r="G12" s="18">
        <f t="shared" ref="G12:G34" si="0">SUM(C12:F12)</f>
        <v>58222</v>
      </c>
      <c r="H12" s="364">
        <f t="shared" ref="H12:H34" si="1">M12/R12</f>
        <v>28007.583999999999</v>
      </c>
      <c r="I12" s="364">
        <f t="shared" ref="I12:I34" si="2">N12/R12</f>
        <v>11607.6</v>
      </c>
      <c r="J12" s="348">
        <f>'enrolment vs availed_PY'!O12/'enrolment vs availed_UPY'!T12</f>
        <v>0</v>
      </c>
      <c r="K12" s="348">
        <f t="shared" ref="K12:K34" si="3">P12/R12</f>
        <v>0</v>
      </c>
      <c r="L12" s="348">
        <f t="shared" ref="L12:L34" si="4">SUM(H12:K12)</f>
        <v>39615.184000000001</v>
      </c>
      <c r="M12" s="18">
        <v>7001896</v>
      </c>
      <c r="N12" s="18">
        <v>2901900</v>
      </c>
      <c r="O12" s="18">
        <v>0</v>
      </c>
      <c r="P12" s="18">
        <v>0</v>
      </c>
      <c r="Q12" s="18">
        <f t="shared" ref="Q12:Q34" si="5">SUM(M12:P12)</f>
        <v>9903796</v>
      </c>
      <c r="R12" s="15">
        <v>250</v>
      </c>
      <c r="T12" s="15">
        <v>248</v>
      </c>
      <c r="V12" s="15">
        <f>G12+'enrolment vs availed_UPY'!G12</f>
        <v>81399</v>
      </c>
    </row>
    <row r="13" spans="1:22" ht="15" x14ac:dyDescent="0.2">
      <c r="A13" s="17">
        <v>3</v>
      </c>
      <c r="B13" s="184" t="s">
        <v>877</v>
      </c>
      <c r="C13" s="336">
        <v>44931</v>
      </c>
      <c r="D13" s="336">
        <v>2441</v>
      </c>
      <c r="E13" s="336">
        <v>0</v>
      </c>
      <c r="F13" s="336">
        <v>0</v>
      </c>
      <c r="G13" s="18">
        <f t="shared" si="0"/>
        <v>47372</v>
      </c>
      <c r="H13" s="364">
        <f t="shared" si="1"/>
        <v>29167.68</v>
      </c>
      <c r="I13" s="364">
        <f t="shared" si="2"/>
        <v>1914.472</v>
      </c>
      <c r="J13" s="348">
        <f>'enrolment vs availed_PY'!O13/'enrolment vs availed_UPY'!T13</f>
        <v>0</v>
      </c>
      <c r="K13" s="348">
        <f t="shared" si="3"/>
        <v>0</v>
      </c>
      <c r="L13" s="348">
        <f t="shared" si="4"/>
        <v>31082.152000000002</v>
      </c>
      <c r="M13" s="18">
        <v>7291920</v>
      </c>
      <c r="N13" s="18">
        <v>478618</v>
      </c>
      <c r="O13" s="18">
        <v>0</v>
      </c>
      <c r="P13" s="18">
        <v>0</v>
      </c>
      <c r="Q13" s="18">
        <f t="shared" si="5"/>
        <v>7770538</v>
      </c>
      <c r="R13" s="15">
        <v>250</v>
      </c>
      <c r="T13" s="15">
        <v>249</v>
      </c>
      <c r="V13" s="15">
        <f>G13+'enrolment vs availed_UPY'!G13</f>
        <v>69706</v>
      </c>
    </row>
    <row r="14" spans="1:22" ht="15" x14ac:dyDescent="0.2">
      <c r="A14" s="17">
        <v>4</v>
      </c>
      <c r="B14" s="184" t="s">
        <v>878</v>
      </c>
      <c r="C14" s="336">
        <v>95139</v>
      </c>
      <c r="D14" s="336">
        <v>20526</v>
      </c>
      <c r="E14" s="336">
        <v>0</v>
      </c>
      <c r="F14" s="336">
        <v>112</v>
      </c>
      <c r="G14" s="18">
        <f t="shared" si="0"/>
        <v>115777</v>
      </c>
      <c r="H14" s="364">
        <f t="shared" si="1"/>
        <v>71174.148000000001</v>
      </c>
      <c r="I14" s="364">
        <f t="shared" si="2"/>
        <v>20629.511999999999</v>
      </c>
      <c r="J14" s="348">
        <f>'enrolment vs availed_PY'!O14/'enrolment vs availed_UPY'!T14</f>
        <v>0</v>
      </c>
      <c r="K14" s="348">
        <f t="shared" si="3"/>
        <v>106.416</v>
      </c>
      <c r="L14" s="348">
        <f t="shared" si="4"/>
        <v>91910.076000000001</v>
      </c>
      <c r="M14" s="18">
        <v>17793537</v>
      </c>
      <c r="N14" s="18">
        <v>5157378</v>
      </c>
      <c r="O14" s="18">
        <v>0</v>
      </c>
      <c r="P14" s="18">
        <v>26604</v>
      </c>
      <c r="Q14" s="18">
        <f t="shared" si="5"/>
        <v>22977519</v>
      </c>
      <c r="R14" s="15">
        <v>250</v>
      </c>
      <c r="T14" s="15">
        <v>254</v>
      </c>
      <c r="V14" s="15">
        <f>G14+'enrolment vs availed_UPY'!G14</f>
        <v>161249</v>
      </c>
    </row>
    <row r="15" spans="1:22" ht="15" x14ac:dyDescent="0.2">
      <c r="A15" s="17">
        <v>5</v>
      </c>
      <c r="B15" s="184" t="s">
        <v>879</v>
      </c>
      <c r="C15" s="336">
        <v>38005</v>
      </c>
      <c r="D15" s="336">
        <v>29177</v>
      </c>
      <c r="E15" s="336">
        <v>0</v>
      </c>
      <c r="F15" s="336">
        <v>0</v>
      </c>
      <c r="G15" s="18">
        <f t="shared" si="0"/>
        <v>67182</v>
      </c>
      <c r="H15" s="364">
        <f t="shared" si="1"/>
        <v>25994.304</v>
      </c>
      <c r="I15" s="364">
        <f t="shared" si="2"/>
        <v>21754.556</v>
      </c>
      <c r="J15" s="348">
        <f>'enrolment vs availed_PY'!O15/'enrolment vs availed_UPY'!T15</f>
        <v>0</v>
      </c>
      <c r="K15" s="348">
        <f t="shared" si="3"/>
        <v>0</v>
      </c>
      <c r="L15" s="348">
        <f t="shared" si="4"/>
        <v>47748.86</v>
      </c>
      <c r="M15" s="18">
        <v>6498576</v>
      </c>
      <c r="N15" s="18">
        <v>5438639</v>
      </c>
      <c r="O15" s="18">
        <v>0</v>
      </c>
      <c r="P15" s="18">
        <v>0</v>
      </c>
      <c r="Q15" s="18">
        <f t="shared" si="5"/>
        <v>11937215</v>
      </c>
      <c r="R15" s="15">
        <v>250</v>
      </c>
      <c r="T15" s="15">
        <v>246</v>
      </c>
      <c r="V15" s="15">
        <f>G15+'enrolment vs availed_UPY'!G15</f>
        <v>96375</v>
      </c>
    </row>
    <row r="16" spans="1:22" ht="15" x14ac:dyDescent="0.2">
      <c r="A16" s="17">
        <v>6</v>
      </c>
      <c r="B16" s="184" t="s">
        <v>880</v>
      </c>
      <c r="C16" s="336">
        <v>99584</v>
      </c>
      <c r="D16" s="336">
        <v>12983</v>
      </c>
      <c r="E16" s="336">
        <v>0</v>
      </c>
      <c r="F16" s="336">
        <v>109</v>
      </c>
      <c r="G16" s="18">
        <f t="shared" si="0"/>
        <v>112676</v>
      </c>
      <c r="H16" s="364">
        <f t="shared" si="1"/>
        <v>72550.555999999997</v>
      </c>
      <c r="I16" s="364">
        <f t="shared" si="2"/>
        <v>9151.56</v>
      </c>
      <c r="J16" s="348">
        <f>'enrolment vs availed_PY'!O16/'enrolment vs availed_UPY'!T16</f>
        <v>0</v>
      </c>
      <c r="K16" s="348">
        <f t="shared" si="3"/>
        <v>37.555999999999997</v>
      </c>
      <c r="L16" s="348">
        <f t="shared" si="4"/>
        <v>81739.671999999991</v>
      </c>
      <c r="M16" s="18">
        <v>18137639</v>
      </c>
      <c r="N16" s="18">
        <v>2287890</v>
      </c>
      <c r="O16" s="18">
        <v>0</v>
      </c>
      <c r="P16" s="18">
        <v>9389</v>
      </c>
      <c r="Q16" s="18">
        <f t="shared" si="5"/>
        <v>20434918</v>
      </c>
      <c r="R16" s="15">
        <v>250</v>
      </c>
      <c r="T16" s="15">
        <v>248</v>
      </c>
      <c r="V16" s="15">
        <f>G16+'enrolment vs availed_UPY'!G16</f>
        <v>179592</v>
      </c>
    </row>
    <row r="17" spans="1:22" ht="15" x14ac:dyDescent="0.2">
      <c r="A17" s="17">
        <v>7</v>
      </c>
      <c r="B17" s="184" t="s">
        <v>881</v>
      </c>
      <c r="C17" s="336">
        <v>80872</v>
      </c>
      <c r="D17" s="336">
        <v>0</v>
      </c>
      <c r="E17" s="336">
        <v>0</v>
      </c>
      <c r="F17" s="336">
        <v>0</v>
      </c>
      <c r="G17" s="18">
        <f t="shared" si="0"/>
        <v>80872</v>
      </c>
      <c r="H17" s="364">
        <f t="shared" si="1"/>
        <v>53301.027999999998</v>
      </c>
      <c r="I17" s="364">
        <f t="shared" si="2"/>
        <v>0</v>
      </c>
      <c r="J17" s="348">
        <f>'enrolment vs availed_PY'!O17/'enrolment vs availed_UPY'!T17</f>
        <v>0</v>
      </c>
      <c r="K17" s="348">
        <f t="shared" si="3"/>
        <v>0</v>
      </c>
      <c r="L17" s="348">
        <f t="shared" si="4"/>
        <v>53301.027999999998</v>
      </c>
      <c r="M17" s="18">
        <v>13325257</v>
      </c>
      <c r="N17" s="18">
        <v>0</v>
      </c>
      <c r="O17" s="18">
        <v>0</v>
      </c>
      <c r="P17" s="18">
        <v>0</v>
      </c>
      <c r="Q17" s="18">
        <f t="shared" si="5"/>
        <v>13325257</v>
      </c>
      <c r="R17" s="15">
        <v>250</v>
      </c>
      <c r="T17" s="15">
        <v>249</v>
      </c>
      <c r="V17" s="15">
        <f>G17+'enrolment vs availed_UPY'!G17</f>
        <v>124611</v>
      </c>
    </row>
    <row r="18" spans="1:22" ht="15" x14ac:dyDescent="0.2">
      <c r="A18" s="17">
        <v>8</v>
      </c>
      <c r="B18" s="184" t="s">
        <v>882</v>
      </c>
      <c r="C18" s="336">
        <v>171362</v>
      </c>
      <c r="D18" s="336">
        <v>10075</v>
      </c>
      <c r="E18" s="336">
        <v>699</v>
      </c>
      <c r="F18" s="336">
        <v>50</v>
      </c>
      <c r="G18" s="18">
        <f t="shared" si="0"/>
        <v>182186</v>
      </c>
      <c r="H18" s="364">
        <f t="shared" si="1"/>
        <v>108855.996</v>
      </c>
      <c r="I18" s="364">
        <f t="shared" si="2"/>
        <v>6820.8639999999996</v>
      </c>
      <c r="J18" s="348">
        <f>'enrolment vs availed_PY'!O18/'enrolment vs availed_UPY'!T18</f>
        <v>411.046875</v>
      </c>
      <c r="K18" s="348">
        <f t="shared" si="3"/>
        <v>35.787999999999997</v>
      </c>
      <c r="L18" s="348">
        <f t="shared" si="4"/>
        <v>116123.694875</v>
      </c>
      <c r="M18" s="18">
        <v>27213999</v>
      </c>
      <c r="N18" s="18">
        <v>1705216</v>
      </c>
      <c r="O18" s="18">
        <v>105228</v>
      </c>
      <c r="P18" s="18">
        <v>8947</v>
      </c>
      <c r="Q18" s="18">
        <f t="shared" si="5"/>
        <v>29033390</v>
      </c>
      <c r="R18" s="15">
        <v>250</v>
      </c>
      <c r="T18" s="15">
        <v>247</v>
      </c>
      <c r="V18" s="15">
        <f>G18+'enrolment vs availed_UPY'!G18</f>
        <v>262138</v>
      </c>
    </row>
    <row r="19" spans="1:22" ht="15" x14ac:dyDescent="0.2">
      <c r="A19" s="17">
        <v>9</v>
      </c>
      <c r="B19" s="184" t="s">
        <v>883</v>
      </c>
      <c r="C19" s="336">
        <v>241952</v>
      </c>
      <c r="D19" s="336">
        <v>932</v>
      </c>
      <c r="E19" s="336">
        <v>0</v>
      </c>
      <c r="F19" s="336">
        <v>471</v>
      </c>
      <c r="G19" s="18">
        <f t="shared" si="0"/>
        <v>243355</v>
      </c>
      <c r="H19" s="364">
        <f t="shared" si="1"/>
        <v>149739.18799999999</v>
      </c>
      <c r="I19" s="364">
        <f t="shared" si="2"/>
        <v>791.48400000000004</v>
      </c>
      <c r="J19" s="348">
        <f>'enrolment vs availed_PY'!O19/'enrolment vs availed_UPY'!T19</f>
        <v>0</v>
      </c>
      <c r="K19" s="348">
        <f t="shared" si="3"/>
        <v>409.71199999999999</v>
      </c>
      <c r="L19" s="348">
        <f t="shared" si="4"/>
        <v>150940.38399999999</v>
      </c>
      <c r="M19" s="18">
        <v>37434797</v>
      </c>
      <c r="N19" s="18">
        <v>197871</v>
      </c>
      <c r="O19" s="18">
        <v>0</v>
      </c>
      <c r="P19" s="18">
        <v>102428</v>
      </c>
      <c r="Q19" s="18">
        <f t="shared" si="5"/>
        <v>37735096</v>
      </c>
      <c r="R19" s="15">
        <v>250</v>
      </c>
      <c r="T19" s="15">
        <v>242</v>
      </c>
      <c r="V19" s="15">
        <f>G19+'enrolment vs availed_UPY'!G19</f>
        <v>359023</v>
      </c>
    </row>
    <row r="20" spans="1:22" ht="15" x14ac:dyDescent="0.2">
      <c r="A20" s="17">
        <v>10</v>
      </c>
      <c r="B20" s="184" t="s">
        <v>884</v>
      </c>
      <c r="C20" s="336">
        <v>89353</v>
      </c>
      <c r="D20" s="336">
        <v>4636</v>
      </c>
      <c r="E20" s="336">
        <v>0</v>
      </c>
      <c r="F20" s="336">
        <v>0</v>
      </c>
      <c r="G20" s="18">
        <f t="shared" si="0"/>
        <v>93989</v>
      </c>
      <c r="H20" s="364">
        <f t="shared" si="1"/>
        <v>51082.968000000001</v>
      </c>
      <c r="I20" s="364">
        <f t="shared" si="2"/>
        <v>3305.0079999999998</v>
      </c>
      <c r="J20" s="348">
        <f>'enrolment vs availed_PY'!O20/'enrolment vs availed_UPY'!T20</f>
        <v>0</v>
      </c>
      <c r="K20" s="348">
        <f t="shared" si="3"/>
        <v>0</v>
      </c>
      <c r="L20" s="348">
        <f t="shared" si="4"/>
        <v>54387.976000000002</v>
      </c>
      <c r="M20" s="18">
        <v>12770742</v>
      </c>
      <c r="N20" s="18">
        <v>826252</v>
      </c>
      <c r="O20" s="18">
        <v>0</v>
      </c>
      <c r="P20" s="18">
        <v>0</v>
      </c>
      <c r="Q20" s="18">
        <f t="shared" si="5"/>
        <v>13596994</v>
      </c>
      <c r="R20" s="15">
        <v>250</v>
      </c>
      <c r="T20" s="15">
        <v>244</v>
      </c>
      <c r="V20" s="15">
        <f>G20+'enrolment vs availed_UPY'!G20</f>
        <v>137275</v>
      </c>
    </row>
    <row r="21" spans="1:22" ht="15" x14ac:dyDescent="0.2">
      <c r="A21" s="17">
        <v>11</v>
      </c>
      <c r="B21" s="241" t="s">
        <v>885</v>
      </c>
      <c r="C21" s="336">
        <v>148199</v>
      </c>
      <c r="D21" s="336">
        <v>1084</v>
      </c>
      <c r="E21" s="336">
        <v>1250</v>
      </c>
      <c r="F21" s="336">
        <v>120</v>
      </c>
      <c r="G21" s="18">
        <f t="shared" si="0"/>
        <v>150653</v>
      </c>
      <c r="H21" s="364">
        <f t="shared" si="1"/>
        <v>86331.107999999993</v>
      </c>
      <c r="I21" s="364">
        <f t="shared" si="2"/>
        <v>630.74800000000005</v>
      </c>
      <c r="J21" s="348">
        <f>'enrolment vs availed_PY'!O21/'enrolment vs availed_UPY'!T21</f>
        <v>844.3671875</v>
      </c>
      <c r="K21" s="348">
        <f t="shared" si="3"/>
        <v>87.067999999999998</v>
      </c>
      <c r="L21" s="348">
        <f t="shared" si="4"/>
        <v>87893.291187499999</v>
      </c>
      <c r="M21" s="624">
        <v>21582777</v>
      </c>
      <c r="N21" s="624">
        <v>157687</v>
      </c>
      <c r="O21" s="18">
        <v>216158</v>
      </c>
      <c r="P21" s="624">
        <v>21767</v>
      </c>
      <c r="Q21" s="18">
        <f t="shared" si="5"/>
        <v>21978389</v>
      </c>
      <c r="R21" s="15">
        <v>250</v>
      </c>
      <c r="S21" s="362"/>
      <c r="T21" s="362">
        <v>253</v>
      </c>
      <c r="U21" s="362"/>
      <c r="V21" s="15">
        <f>G21+'enrolment vs availed_UPY'!G21</f>
        <v>226048</v>
      </c>
    </row>
    <row r="22" spans="1:22" ht="15" x14ac:dyDescent="0.2">
      <c r="A22" s="17">
        <v>12</v>
      </c>
      <c r="B22" s="241" t="s">
        <v>886</v>
      </c>
      <c r="C22" s="336">
        <v>123278</v>
      </c>
      <c r="D22" s="336">
        <v>3557</v>
      </c>
      <c r="E22" s="336">
        <v>621</v>
      </c>
      <c r="F22" s="336">
        <v>1173</v>
      </c>
      <c r="G22" s="18">
        <f t="shared" si="0"/>
        <v>128629</v>
      </c>
      <c r="H22" s="364">
        <f t="shared" si="1"/>
        <v>84595.771999999997</v>
      </c>
      <c r="I22" s="364">
        <f t="shared" si="2"/>
        <v>2727.8919999999998</v>
      </c>
      <c r="J22" s="348">
        <f>'enrolment vs availed_PY'!O22/'enrolment vs availed_UPY'!T22</f>
        <v>462.94921875</v>
      </c>
      <c r="K22" s="348">
        <f t="shared" si="3"/>
        <v>839.01199999999994</v>
      </c>
      <c r="L22" s="348">
        <f t="shared" si="4"/>
        <v>88625.625218749992</v>
      </c>
      <c r="M22" s="18">
        <v>21148943</v>
      </c>
      <c r="N22" s="18">
        <v>681973</v>
      </c>
      <c r="O22" s="18">
        <v>118515</v>
      </c>
      <c r="P22" s="18">
        <v>209753</v>
      </c>
      <c r="Q22" s="18">
        <f t="shared" si="5"/>
        <v>22159184</v>
      </c>
      <c r="R22" s="15">
        <v>250</v>
      </c>
      <c r="T22" s="15">
        <v>256</v>
      </c>
      <c r="V22" s="15">
        <f>G22+'enrolment vs availed_UPY'!G22</f>
        <v>193678</v>
      </c>
    </row>
    <row r="23" spans="1:22" ht="15" x14ac:dyDescent="0.2">
      <c r="A23" s="17">
        <v>13</v>
      </c>
      <c r="B23" s="184" t="s">
        <v>887</v>
      </c>
      <c r="C23" s="336">
        <v>49687</v>
      </c>
      <c r="D23" s="336">
        <v>727</v>
      </c>
      <c r="E23" s="336">
        <v>0</v>
      </c>
      <c r="F23" s="336">
        <v>167</v>
      </c>
      <c r="G23" s="18">
        <f t="shared" si="0"/>
        <v>50581</v>
      </c>
      <c r="H23" s="364">
        <f t="shared" si="1"/>
        <v>36797.839999999997</v>
      </c>
      <c r="I23" s="364">
        <f t="shared" si="2"/>
        <v>535.84400000000005</v>
      </c>
      <c r="J23" s="348">
        <f>'enrolment vs availed_PY'!O23/'enrolment vs availed_UPY'!T23</f>
        <v>0</v>
      </c>
      <c r="K23" s="348">
        <f t="shared" si="3"/>
        <v>142.13200000000001</v>
      </c>
      <c r="L23" s="348">
        <f t="shared" si="4"/>
        <v>37475.815999999992</v>
      </c>
      <c r="M23" s="18">
        <v>9199460</v>
      </c>
      <c r="N23" s="18">
        <v>133961</v>
      </c>
      <c r="O23" s="18">
        <v>0</v>
      </c>
      <c r="P23" s="18">
        <v>35533</v>
      </c>
      <c r="Q23" s="18">
        <f t="shared" si="5"/>
        <v>9368954</v>
      </c>
      <c r="R23" s="15">
        <v>250</v>
      </c>
      <c r="T23" s="15">
        <v>257</v>
      </c>
      <c r="V23" s="15">
        <f>G23+'enrolment vs availed_UPY'!G23</f>
        <v>81152</v>
      </c>
    </row>
    <row r="24" spans="1:22" ht="15" x14ac:dyDescent="0.2">
      <c r="A24" s="17">
        <v>14</v>
      </c>
      <c r="B24" s="184" t="s">
        <v>888</v>
      </c>
      <c r="C24" s="336">
        <v>61145</v>
      </c>
      <c r="D24" s="336">
        <v>396</v>
      </c>
      <c r="E24" s="336">
        <v>0</v>
      </c>
      <c r="F24" s="336">
        <v>447</v>
      </c>
      <c r="G24" s="18">
        <f t="shared" si="0"/>
        <v>61988</v>
      </c>
      <c r="H24" s="364">
        <f t="shared" si="1"/>
        <v>40069.22</v>
      </c>
      <c r="I24" s="364">
        <f t="shared" si="2"/>
        <v>214.13200000000001</v>
      </c>
      <c r="J24" s="348">
        <f>'enrolment vs availed_PY'!O24/'enrolment vs availed_UPY'!T24</f>
        <v>0</v>
      </c>
      <c r="K24" s="348">
        <f t="shared" si="3"/>
        <v>264.70800000000003</v>
      </c>
      <c r="L24" s="348">
        <f t="shared" si="4"/>
        <v>40548.06</v>
      </c>
      <c r="M24" s="18">
        <v>10017305</v>
      </c>
      <c r="N24" s="18">
        <v>53533</v>
      </c>
      <c r="O24" s="18">
        <v>0</v>
      </c>
      <c r="P24" s="18">
        <v>66177</v>
      </c>
      <c r="Q24" s="18">
        <f t="shared" si="5"/>
        <v>10137015</v>
      </c>
      <c r="R24" s="15">
        <v>250</v>
      </c>
      <c r="T24" s="15">
        <v>238</v>
      </c>
      <c r="V24" s="15">
        <f>G24+'enrolment vs availed_UPY'!G24</f>
        <v>94727</v>
      </c>
    </row>
    <row r="25" spans="1:22" ht="15" x14ac:dyDescent="0.2">
      <c r="A25" s="17">
        <v>15</v>
      </c>
      <c r="B25" s="184" t="s">
        <v>889</v>
      </c>
      <c r="C25" s="336">
        <v>122702</v>
      </c>
      <c r="D25" s="336">
        <v>692</v>
      </c>
      <c r="E25" s="336">
        <v>0</v>
      </c>
      <c r="F25" s="336">
        <v>369</v>
      </c>
      <c r="G25" s="18">
        <f t="shared" si="0"/>
        <v>123763</v>
      </c>
      <c r="H25" s="364">
        <f t="shared" si="1"/>
        <v>86533.82</v>
      </c>
      <c r="I25" s="364">
        <f t="shared" si="2"/>
        <v>489.63200000000001</v>
      </c>
      <c r="J25" s="348">
        <f>'enrolment vs availed_PY'!O25/'enrolment vs availed_UPY'!T25</f>
        <v>0</v>
      </c>
      <c r="K25" s="348">
        <f t="shared" si="3"/>
        <v>289.36399999999998</v>
      </c>
      <c r="L25" s="348">
        <f t="shared" si="4"/>
        <v>87312.816000000006</v>
      </c>
      <c r="M25" s="18">
        <v>21633455</v>
      </c>
      <c r="N25" s="18">
        <v>122408</v>
      </c>
      <c r="O25" s="18">
        <v>0</v>
      </c>
      <c r="P25" s="18">
        <v>72341</v>
      </c>
      <c r="Q25" s="18">
        <f t="shared" si="5"/>
        <v>21828204</v>
      </c>
      <c r="R25" s="15">
        <v>250</v>
      </c>
      <c r="T25" s="15">
        <v>256</v>
      </c>
      <c r="V25" s="15">
        <f>G25+'enrolment vs availed_UPY'!G25</f>
        <v>185854</v>
      </c>
    </row>
    <row r="26" spans="1:22" ht="15" x14ac:dyDescent="0.2">
      <c r="A26" s="17">
        <v>16</v>
      </c>
      <c r="B26" s="184" t="s">
        <v>890</v>
      </c>
      <c r="C26" s="336">
        <v>260880</v>
      </c>
      <c r="D26" s="336">
        <v>5987</v>
      </c>
      <c r="E26" s="336">
        <v>0</v>
      </c>
      <c r="F26" s="336">
        <v>1030</v>
      </c>
      <c r="G26" s="18">
        <f t="shared" si="0"/>
        <v>267897</v>
      </c>
      <c r="H26" s="364">
        <f t="shared" si="1"/>
        <v>130139.81600000001</v>
      </c>
      <c r="I26" s="364">
        <f t="shared" si="2"/>
        <v>2692.9119999999998</v>
      </c>
      <c r="J26" s="348">
        <f>'enrolment vs availed_PY'!O26/'enrolment vs availed_UPY'!T26</f>
        <v>0</v>
      </c>
      <c r="K26" s="348">
        <f t="shared" si="3"/>
        <v>521.92399999999998</v>
      </c>
      <c r="L26" s="348">
        <f t="shared" si="4"/>
        <v>133354.652</v>
      </c>
      <c r="M26" s="18">
        <v>32534954</v>
      </c>
      <c r="N26" s="18">
        <v>673228</v>
      </c>
      <c r="O26" s="18">
        <v>0</v>
      </c>
      <c r="P26" s="18">
        <v>130481</v>
      </c>
      <c r="Q26" s="18">
        <f t="shared" si="5"/>
        <v>33338663</v>
      </c>
      <c r="R26" s="15">
        <v>250</v>
      </c>
      <c r="T26" s="15">
        <v>254</v>
      </c>
      <c r="V26" s="15">
        <f>G26+'enrolment vs availed_UPY'!G26</f>
        <v>383115</v>
      </c>
    </row>
    <row r="27" spans="1:22" ht="15" x14ac:dyDescent="0.2">
      <c r="A27" s="17">
        <v>17</v>
      </c>
      <c r="B27" s="184" t="s">
        <v>891</v>
      </c>
      <c r="C27" s="336">
        <v>138563</v>
      </c>
      <c r="D27" s="336">
        <v>3063</v>
      </c>
      <c r="E27" s="336">
        <v>0</v>
      </c>
      <c r="F27" s="336">
        <v>260</v>
      </c>
      <c r="G27" s="18">
        <f t="shared" si="0"/>
        <v>141886</v>
      </c>
      <c r="H27" s="364">
        <f t="shared" si="1"/>
        <v>85430.86</v>
      </c>
      <c r="I27" s="364">
        <f t="shared" si="2"/>
        <v>1591.28</v>
      </c>
      <c r="J27" s="348">
        <f>'enrolment vs availed_PY'!O27/'enrolment vs availed_UPY'!T27</f>
        <v>0</v>
      </c>
      <c r="K27" s="348">
        <f t="shared" si="3"/>
        <v>160.43600000000001</v>
      </c>
      <c r="L27" s="348">
        <f t="shared" si="4"/>
        <v>87182.576000000001</v>
      </c>
      <c r="M27" s="18">
        <v>21357715</v>
      </c>
      <c r="N27" s="18">
        <v>397820</v>
      </c>
      <c r="O27" s="18">
        <v>0</v>
      </c>
      <c r="P27" s="18">
        <v>40109</v>
      </c>
      <c r="Q27" s="18">
        <f t="shared" si="5"/>
        <v>21795644</v>
      </c>
      <c r="R27" s="15">
        <v>250</v>
      </c>
      <c r="T27" s="15">
        <v>241</v>
      </c>
      <c r="V27" s="15">
        <f>G27+'enrolment vs availed_UPY'!G27</f>
        <v>226346</v>
      </c>
    </row>
    <row r="28" spans="1:22" ht="15" x14ac:dyDescent="0.2">
      <c r="A28" s="17">
        <v>18</v>
      </c>
      <c r="B28" s="241" t="s">
        <v>892</v>
      </c>
      <c r="C28" s="336">
        <v>113642</v>
      </c>
      <c r="D28" s="336">
        <f>325+90</f>
        <v>415</v>
      </c>
      <c r="E28" s="336">
        <v>0</v>
      </c>
      <c r="F28" s="336">
        <v>0</v>
      </c>
      <c r="G28" s="18">
        <f t="shared" si="0"/>
        <v>114057</v>
      </c>
      <c r="H28" s="364">
        <f t="shared" si="1"/>
        <v>75559.012000000002</v>
      </c>
      <c r="I28" s="364">
        <f t="shared" si="2"/>
        <v>114.19199999999999</v>
      </c>
      <c r="J28" s="348">
        <f>'enrolment vs availed_PY'!O28/'enrolment vs availed_UPY'!T28</f>
        <v>0</v>
      </c>
      <c r="K28" s="348">
        <f t="shared" si="3"/>
        <v>0</v>
      </c>
      <c r="L28" s="348">
        <f t="shared" si="4"/>
        <v>75673.203999999998</v>
      </c>
      <c r="M28" s="18">
        <v>18889753</v>
      </c>
      <c r="N28" s="18">
        <f>21071+7477</f>
        <v>28548</v>
      </c>
      <c r="O28" s="18">
        <v>0</v>
      </c>
      <c r="P28" s="18">
        <v>0</v>
      </c>
      <c r="Q28" s="18">
        <f t="shared" si="5"/>
        <v>18918301</v>
      </c>
      <c r="R28" s="15">
        <v>250</v>
      </c>
      <c r="T28" s="15">
        <v>253</v>
      </c>
      <c r="V28" s="15">
        <f>G28+'enrolment vs availed_UPY'!G28</f>
        <v>180330</v>
      </c>
    </row>
    <row r="29" spans="1:22" ht="15" x14ac:dyDescent="0.2">
      <c r="A29" s="17">
        <v>19</v>
      </c>
      <c r="B29" s="184" t="s">
        <v>893</v>
      </c>
      <c r="C29" s="336">
        <v>132023</v>
      </c>
      <c r="D29" s="336">
        <v>2909</v>
      </c>
      <c r="E29" s="336">
        <v>1265</v>
      </c>
      <c r="F29" s="336">
        <v>195</v>
      </c>
      <c r="G29" s="18">
        <f t="shared" si="0"/>
        <v>136392</v>
      </c>
      <c r="H29" s="364">
        <f t="shared" si="1"/>
        <v>68357.251999999993</v>
      </c>
      <c r="I29" s="364">
        <f t="shared" si="2"/>
        <v>1407.8</v>
      </c>
      <c r="J29" s="348">
        <f>'enrolment vs availed_PY'!O29/'enrolment vs availed_UPY'!T29</f>
        <v>432.1953125</v>
      </c>
      <c r="K29" s="348">
        <f t="shared" si="3"/>
        <v>98.456000000000003</v>
      </c>
      <c r="L29" s="348">
        <f t="shared" si="4"/>
        <v>70295.703312500002</v>
      </c>
      <c r="M29" s="18">
        <v>17089313</v>
      </c>
      <c r="N29" s="18">
        <v>351950</v>
      </c>
      <c r="O29" s="18">
        <v>110642</v>
      </c>
      <c r="P29" s="18">
        <v>24614</v>
      </c>
      <c r="Q29" s="18">
        <f t="shared" si="5"/>
        <v>17576519</v>
      </c>
      <c r="R29" s="15">
        <v>250</v>
      </c>
      <c r="T29" s="15">
        <v>251</v>
      </c>
      <c r="V29" s="15">
        <f>G29+'enrolment vs availed_UPY'!G29</f>
        <v>200691</v>
      </c>
    </row>
    <row r="30" spans="1:22" ht="15" x14ac:dyDescent="0.2">
      <c r="A30" s="17">
        <v>20</v>
      </c>
      <c r="B30" s="184" t="s">
        <v>894</v>
      </c>
      <c r="C30" s="336">
        <v>75796</v>
      </c>
      <c r="D30" s="336">
        <v>371</v>
      </c>
      <c r="E30" s="336">
        <v>0</v>
      </c>
      <c r="F30" s="336">
        <v>305</v>
      </c>
      <c r="G30" s="18">
        <f t="shared" si="0"/>
        <v>76472</v>
      </c>
      <c r="H30" s="364">
        <f t="shared" si="1"/>
        <v>49774.235999999997</v>
      </c>
      <c r="I30" s="364">
        <f t="shared" si="2"/>
        <v>239.87200000000001</v>
      </c>
      <c r="J30" s="348">
        <f>'enrolment vs availed_PY'!O30/'enrolment vs availed_UPY'!T30</f>
        <v>0</v>
      </c>
      <c r="K30" s="348">
        <f t="shared" si="3"/>
        <v>199.416</v>
      </c>
      <c r="L30" s="348">
        <f t="shared" si="4"/>
        <v>50213.523999999998</v>
      </c>
      <c r="M30" s="18">
        <v>12443559</v>
      </c>
      <c r="N30" s="18">
        <v>59968</v>
      </c>
      <c r="O30" s="18">
        <v>0</v>
      </c>
      <c r="P30" s="18">
        <v>49854</v>
      </c>
      <c r="Q30" s="18">
        <f t="shared" si="5"/>
        <v>12553381</v>
      </c>
      <c r="R30" s="15">
        <v>250</v>
      </c>
      <c r="T30" s="15">
        <v>252</v>
      </c>
      <c r="V30" s="15">
        <f>G30+'enrolment vs availed_UPY'!G30</f>
        <v>114678</v>
      </c>
    </row>
    <row r="31" spans="1:22" ht="15" x14ac:dyDescent="0.2">
      <c r="A31" s="17">
        <v>21</v>
      </c>
      <c r="B31" s="184" t="s">
        <v>895</v>
      </c>
      <c r="C31" s="336">
        <v>132519</v>
      </c>
      <c r="D31" s="336">
        <v>2095</v>
      </c>
      <c r="E31" s="336">
        <v>0</v>
      </c>
      <c r="F31" s="336">
        <v>6441</v>
      </c>
      <c r="G31" s="18">
        <f t="shared" si="0"/>
        <v>141055</v>
      </c>
      <c r="H31" s="364">
        <f t="shared" si="1"/>
        <v>64488.468000000001</v>
      </c>
      <c r="I31" s="364">
        <f t="shared" si="2"/>
        <v>1359.38</v>
      </c>
      <c r="J31" s="348">
        <f>'enrolment vs availed_PY'!O31/'enrolment vs availed_UPY'!T31</f>
        <v>164.32421875</v>
      </c>
      <c r="K31" s="348">
        <f t="shared" si="3"/>
        <v>3078.6840000000002</v>
      </c>
      <c r="L31" s="348">
        <f t="shared" si="4"/>
        <v>69090.856218749992</v>
      </c>
      <c r="M31" s="18">
        <v>16122117</v>
      </c>
      <c r="N31" s="18">
        <v>339845</v>
      </c>
      <c r="O31" s="18">
        <v>42067</v>
      </c>
      <c r="P31" s="18">
        <v>769671</v>
      </c>
      <c r="Q31" s="18">
        <f t="shared" si="5"/>
        <v>17273700</v>
      </c>
      <c r="R31" s="15">
        <v>250</v>
      </c>
      <c r="T31" s="15">
        <v>249</v>
      </c>
      <c r="V31" s="15">
        <f>G31+'enrolment vs availed_UPY'!G31</f>
        <v>195094</v>
      </c>
    </row>
    <row r="32" spans="1:22" ht="15" x14ac:dyDescent="0.2">
      <c r="A32" s="17">
        <v>22</v>
      </c>
      <c r="B32" s="184" t="s">
        <v>896</v>
      </c>
      <c r="C32" s="336">
        <v>100073</v>
      </c>
      <c r="D32" s="336">
        <v>3239</v>
      </c>
      <c r="E32" s="336">
        <v>496</v>
      </c>
      <c r="F32" s="336">
        <v>5221</v>
      </c>
      <c r="G32" s="18">
        <f t="shared" si="0"/>
        <v>109029</v>
      </c>
      <c r="H32" s="364">
        <f t="shared" si="1"/>
        <v>48043.08</v>
      </c>
      <c r="I32" s="364">
        <f t="shared" si="2"/>
        <v>1555.068</v>
      </c>
      <c r="J32" s="348">
        <f>'enrolment vs availed_PY'!O32/'enrolment vs availed_UPY'!T32</f>
        <v>44.5625</v>
      </c>
      <c r="K32" s="348">
        <f t="shared" si="3"/>
        <v>2506.3200000000002</v>
      </c>
      <c r="L32" s="348">
        <f t="shared" si="4"/>
        <v>52149.030500000001</v>
      </c>
      <c r="M32" s="18">
        <v>12010770</v>
      </c>
      <c r="N32" s="18">
        <v>388767</v>
      </c>
      <c r="O32" s="18">
        <v>11408</v>
      </c>
      <c r="P32" s="18">
        <v>626580</v>
      </c>
      <c r="Q32" s="18">
        <f t="shared" si="5"/>
        <v>13037525</v>
      </c>
      <c r="R32" s="15">
        <v>250</v>
      </c>
      <c r="T32" s="15">
        <v>251</v>
      </c>
      <c r="V32" s="15">
        <f>G32+'enrolment vs availed_UPY'!G32</f>
        <v>143632</v>
      </c>
    </row>
    <row r="33" spans="1:22" ht="15" x14ac:dyDescent="0.2">
      <c r="A33" s="17">
        <v>23</v>
      </c>
      <c r="B33" s="184" t="s">
        <v>897</v>
      </c>
      <c r="C33" s="336">
        <v>137389</v>
      </c>
      <c r="D33" s="336">
        <v>2202</v>
      </c>
      <c r="E33" s="336">
        <v>0</v>
      </c>
      <c r="F33" s="336">
        <v>7262</v>
      </c>
      <c r="G33" s="18">
        <f t="shared" si="0"/>
        <v>146853</v>
      </c>
      <c r="H33" s="364">
        <f t="shared" si="1"/>
        <v>82202.168000000005</v>
      </c>
      <c r="I33" s="364">
        <f t="shared" si="2"/>
        <v>1830.46</v>
      </c>
      <c r="J33" s="348">
        <f>'enrolment vs availed_PY'!O33/'enrolment vs availed_UPY'!T33</f>
        <v>0</v>
      </c>
      <c r="K33" s="348">
        <f t="shared" si="3"/>
        <v>4185.0680000000002</v>
      </c>
      <c r="L33" s="348">
        <f t="shared" si="4"/>
        <v>88217.696000000011</v>
      </c>
      <c r="M33" s="18">
        <v>20550542</v>
      </c>
      <c r="N33" s="18">
        <v>457615</v>
      </c>
      <c r="O33" s="18">
        <v>0</v>
      </c>
      <c r="P33" s="18">
        <v>1046267</v>
      </c>
      <c r="Q33" s="18">
        <f t="shared" si="5"/>
        <v>22054424</v>
      </c>
      <c r="R33" s="15">
        <v>250</v>
      </c>
      <c r="T33" s="15">
        <v>248</v>
      </c>
      <c r="V33" s="15">
        <f>G33+'enrolment vs availed_UPY'!G33</f>
        <v>205969</v>
      </c>
    </row>
    <row r="34" spans="1:22" ht="15" x14ac:dyDescent="0.2">
      <c r="A34" s="17">
        <v>24</v>
      </c>
      <c r="B34" s="184" t="s">
        <v>898</v>
      </c>
      <c r="C34" s="336">
        <v>157525</v>
      </c>
      <c r="D34" s="336">
        <v>405</v>
      </c>
      <c r="E34" s="336">
        <v>0</v>
      </c>
      <c r="F34" s="336">
        <v>339</v>
      </c>
      <c r="G34" s="18">
        <f t="shared" si="0"/>
        <v>158269</v>
      </c>
      <c r="H34" s="364">
        <f t="shared" si="1"/>
        <v>99917.432000000001</v>
      </c>
      <c r="I34" s="364">
        <f t="shared" si="2"/>
        <v>305.98399999999998</v>
      </c>
      <c r="J34" s="348">
        <f>'enrolment vs availed_PY'!O34/'enrolment vs availed_UPY'!T34</f>
        <v>0</v>
      </c>
      <c r="K34" s="348">
        <f t="shared" si="3"/>
        <v>250.72399999999999</v>
      </c>
      <c r="L34" s="348">
        <f t="shared" si="4"/>
        <v>100474.14</v>
      </c>
      <c r="M34" s="18">
        <v>24979358</v>
      </c>
      <c r="N34" s="18">
        <v>76496</v>
      </c>
      <c r="O34" s="18">
        <v>0</v>
      </c>
      <c r="P34" s="18">
        <v>62681</v>
      </c>
      <c r="Q34" s="18">
        <f t="shared" si="5"/>
        <v>25118535</v>
      </c>
      <c r="R34" s="15">
        <v>250</v>
      </c>
      <c r="T34" s="15">
        <v>254</v>
      </c>
      <c r="V34" s="15">
        <f>G34+'enrolment vs availed_UPY'!G34</f>
        <v>248293</v>
      </c>
    </row>
    <row r="35" spans="1:22" s="14" customFormat="1" x14ac:dyDescent="0.2">
      <c r="A35" s="733" t="s">
        <v>15</v>
      </c>
      <c r="B35" s="735"/>
      <c r="C35" s="28">
        <f>SUM(C11:C34)</f>
        <v>2793628</v>
      </c>
      <c r="D35" s="28">
        <f>SUM(D11:D34)</f>
        <v>153711</v>
      </c>
      <c r="E35" s="28">
        <f>SUM(E11:E34)</f>
        <v>5189</v>
      </c>
      <c r="F35" s="28">
        <f>SUM(F11:F34)</f>
        <v>24306</v>
      </c>
      <c r="G35" s="28">
        <f>SUM(C35:F35)</f>
        <v>2976834</v>
      </c>
      <c r="H35" s="365">
        <f>SUM(H11:H34)</f>
        <v>1724585.3720000007</v>
      </c>
      <c r="I35" s="350">
        <f>SUM(I11:I34)</f>
        <v>112716.91600000001</v>
      </c>
      <c r="J35" s="350">
        <f>SUM(J11:J34)</f>
        <v>2905.6875</v>
      </c>
      <c r="K35" s="350">
        <f>SUM(K11:K34)</f>
        <v>13329.12</v>
      </c>
      <c r="L35" s="350">
        <f>SUM(H35:K35)</f>
        <v>1853537.0955000008</v>
      </c>
      <c r="M35" s="28">
        <f>SUM(M11:M34)</f>
        <v>431146343</v>
      </c>
      <c r="N35" s="28">
        <f>SUM(N11:N34)</f>
        <v>28179229</v>
      </c>
      <c r="O35" s="28">
        <f>SUM(O11:O34)</f>
        <v>743856</v>
      </c>
      <c r="P35" s="28">
        <f>SUM(P11:P34)</f>
        <v>3332280</v>
      </c>
      <c r="Q35" s="28">
        <f>SUM(M35:P35)</f>
        <v>463401708</v>
      </c>
    </row>
    <row r="36" spans="1:22" x14ac:dyDescent="0.2">
      <c r="A36" s="65"/>
      <c r="B36" s="20"/>
      <c r="C36" s="20"/>
      <c r="D36" s="20"/>
      <c r="E36" s="20"/>
      <c r="F36" s="20"/>
      <c r="G36" s="20">
        <v>1425963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22" x14ac:dyDescent="0.2">
      <c r="A37" s="10" t="s">
        <v>7</v>
      </c>
      <c r="B37"/>
      <c r="C37"/>
      <c r="D37"/>
      <c r="G37" s="362">
        <f>SUM(G35:G36)</f>
        <v>4402797</v>
      </c>
    </row>
    <row r="38" spans="1:22" x14ac:dyDescent="0.2">
      <c r="A38" t="s">
        <v>8</v>
      </c>
      <c r="B38"/>
      <c r="C38"/>
      <c r="D38"/>
    </row>
    <row r="39" spans="1:22" x14ac:dyDescent="0.2">
      <c r="A39" t="s">
        <v>9</v>
      </c>
      <c r="B39"/>
      <c r="C39"/>
      <c r="D39"/>
      <c r="I39" s="11"/>
      <c r="J39" s="11"/>
      <c r="K39" s="11"/>
      <c r="L39" s="11"/>
    </row>
    <row r="40" spans="1:22" customFormat="1" x14ac:dyDescent="0.2">
      <c r="A40" s="15" t="s">
        <v>422</v>
      </c>
      <c r="J40" s="11"/>
      <c r="K40" s="11"/>
      <c r="L40" s="11"/>
    </row>
    <row r="41" spans="1:22" customFormat="1" x14ac:dyDescent="0.2">
      <c r="C41" s="15" t="s">
        <v>423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22" customFormat="1" x14ac:dyDescent="0.2">
      <c r="C42" s="15"/>
      <c r="E42" s="12"/>
      <c r="F42" s="12"/>
      <c r="G42" s="12"/>
      <c r="H42" s="12"/>
      <c r="I42" s="12"/>
      <c r="J42" s="12"/>
      <c r="K42" s="12"/>
      <c r="L42" s="12"/>
      <c r="M42" s="12"/>
    </row>
    <row r="43" spans="1:22" customFormat="1" x14ac:dyDescent="0.2">
      <c r="A43" s="670" t="s">
        <v>11</v>
      </c>
      <c r="B43" s="670"/>
      <c r="C43" s="670"/>
      <c r="D43" s="670"/>
      <c r="E43" s="670"/>
      <c r="F43" s="670"/>
      <c r="G43" s="670"/>
      <c r="H43" s="669"/>
      <c r="I43" s="670"/>
      <c r="J43" s="669"/>
      <c r="K43" s="669"/>
      <c r="L43" s="669"/>
      <c r="M43" s="669"/>
      <c r="N43" s="669"/>
      <c r="O43" s="758" t="s">
        <v>1107</v>
      </c>
      <c r="P43" s="758"/>
      <c r="Q43" s="759"/>
      <c r="R43" s="669"/>
    </row>
    <row r="44" spans="1:22" x14ac:dyDescent="0.2">
      <c r="A44" s="758" t="s">
        <v>1108</v>
      </c>
      <c r="B44" s="758"/>
      <c r="C44" s="758"/>
      <c r="D44" s="758"/>
      <c r="E44" s="758"/>
      <c r="F44" s="758"/>
      <c r="G44" s="758"/>
      <c r="H44" s="758"/>
      <c r="I44" s="758"/>
      <c r="J44" s="758"/>
      <c r="K44" s="758"/>
      <c r="L44" s="758"/>
      <c r="M44" s="758"/>
      <c r="N44" s="758"/>
      <c r="O44" s="758"/>
      <c r="P44" s="758"/>
      <c r="Q44" s="758"/>
      <c r="R44" s="669"/>
    </row>
    <row r="45" spans="1:22" ht="12.75" customHeight="1" x14ac:dyDescent="0.2">
      <c r="A45" s="757" t="s">
        <v>1109</v>
      </c>
      <c r="B45" s="757"/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</row>
    <row r="46" spans="1:22" x14ac:dyDescent="0.2">
      <c r="A46" s="670"/>
      <c r="B46" s="670"/>
      <c r="C46" s="670"/>
      <c r="D46" s="670"/>
      <c r="E46" s="670"/>
      <c r="F46" s="670"/>
      <c r="G46" s="669"/>
      <c r="H46" s="669"/>
      <c r="I46" s="669"/>
      <c r="J46" s="669"/>
      <c r="K46" s="669"/>
      <c r="L46" s="669"/>
      <c r="M46" s="669"/>
      <c r="N46" s="756" t="s">
        <v>1110</v>
      </c>
      <c r="O46" s="756"/>
      <c r="P46" s="756"/>
      <c r="Q46" s="756"/>
      <c r="R46" s="669"/>
    </row>
    <row r="47" spans="1:22" x14ac:dyDescent="0.2">
      <c r="A47"/>
      <c r="B47" s="567"/>
      <c r="C47" s="567"/>
      <c r="D47"/>
      <c r="E47"/>
      <c r="F47"/>
      <c r="G47" s="448"/>
      <c r="H47" s="566"/>
      <c r="I47" s="566"/>
      <c r="J47"/>
      <c r="K47" s="33"/>
      <c r="L47" s="567"/>
      <c r="M47" s="567"/>
      <c r="N47" s="567"/>
      <c r="O47" s="33"/>
      <c r="P47" s="33"/>
      <c r="Q47" s="33"/>
    </row>
    <row r="48" spans="1:22" x14ac:dyDescent="0.2">
      <c r="A48" s="879"/>
      <c r="B48" s="879"/>
      <c r="C48" s="879"/>
      <c r="D48" s="879"/>
      <c r="E48" s="879"/>
      <c r="F48" s="879"/>
      <c r="G48" s="879"/>
      <c r="H48" s="879"/>
      <c r="I48" s="879"/>
      <c r="J48" s="879"/>
      <c r="K48" s="879"/>
      <c r="L48" s="879"/>
    </row>
  </sheetData>
  <mergeCells count="16">
    <mergeCell ref="A5:O5"/>
    <mergeCell ref="O1:Q1"/>
    <mergeCell ref="A2:L2"/>
    <mergeCell ref="A3:L3"/>
    <mergeCell ref="A8:A9"/>
    <mergeCell ref="B8:B9"/>
    <mergeCell ref="C8:G8"/>
    <mergeCell ref="H8:L8"/>
    <mergeCell ref="M8:Q8"/>
    <mergeCell ref="N7:Q7"/>
    <mergeCell ref="A48:L48"/>
    <mergeCell ref="N46:Q46"/>
    <mergeCell ref="A45:R45"/>
    <mergeCell ref="O43:Q43"/>
    <mergeCell ref="A44:Q44"/>
    <mergeCell ref="A35:B3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view="pageBreakPreview" topLeftCell="A22" zoomScaleNormal="100" zoomScaleSheetLayoutView="100" workbookViewId="0">
      <selection activeCell="G35" sqref="G35"/>
    </sheetView>
  </sheetViews>
  <sheetFormatPr defaultRowHeight="12.75" x14ac:dyDescent="0.2"/>
  <cols>
    <col min="1" max="1" width="7.140625" style="15" customWidth="1"/>
    <col min="2" max="2" width="15.140625" style="15" bestFit="1" customWidth="1"/>
    <col min="3" max="3" width="9.5703125" style="15" customWidth="1"/>
    <col min="4" max="4" width="9.28515625" style="15" customWidth="1"/>
    <col min="5" max="6" width="9.140625" style="15"/>
    <col min="7" max="7" width="10.85546875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7" width="11.7109375" style="15" customWidth="1"/>
    <col min="18" max="18" width="9.140625" style="15" hidden="1" customWidth="1"/>
    <col min="19" max="16384" width="9.140625" style="15"/>
  </cols>
  <sheetData>
    <row r="1" spans="1:22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787" t="s">
        <v>57</v>
      </c>
      <c r="P1" s="787"/>
      <c r="Q1" s="787"/>
    </row>
    <row r="2" spans="1:22" customFormat="1" ht="15.75" x14ac:dyDescent="0.25">
      <c r="A2" s="788" t="s">
        <v>0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41"/>
      <c r="N2" s="41"/>
      <c r="O2" s="41"/>
      <c r="P2" s="41"/>
    </row>
    <row r="3" spans="1:22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40"/>
      <c r="N3" s="40"/>
      <c r="O3" s="40"/>
      <c r="P3" s="40"/>
    </row>
    <row r="4" spans="1:22" customFormat="1" ht="11.25" customHeight="1" x14ac:dyDescent="0.2"/>
    <row r="5" spans="1:22" customFormat="1" ht="15.75" x14ac:dyDescent="0.25">
      <c r="A5" s="880" t="s">
        <v>835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15"/>
      <c r="N5" s="15"/>
      <c r="O5" s="15"/>
      <c r="P5" s="15"/>
    </row>
    <row r="7" spans="1:22" ht="12.6" customHeight="1" x14ac:dyDescent="0.2">
      <c r="A7" s="33" t="s">
        <v>1098</v>
      </c>
      <c r="B7" s="598"/>
      <c r="N7" s="870" t="s">
        <v>770</v>
      </c>
      <c r="O7" s="870"/>
      <c r="P7" s="870"/>
      <c r="Q7" s="870"/>
      <c r="R7" s="870"/>
    </row>
    <row r="8" spans="1:22" s="14" customFormat="1" ht="29.45" customHeight="1" x14ac:dyDescent="0.2">
      <c r="A8" s="775" t="s">
        <v>1</v>
      </c>
      <c r="B8" s="775" t="s">
        <v>2</v>
      </c>
      <c r="C8" s="776" t="s">
        <v>778</v>
      </c>
      <c r="D8" s="776"/>
      <c r="E8" s="776"/>
      <c r="F8" s="776"/>
      <c r="G8" s="776"/>
      <c r="H8" s="776" t="s">
        <v>629</v>
      </c>
      <c r="I8" s="776"/>
      <c r="J8" s="776"/>
      <c r="K8" s="776"/>
      <c r="L8" s="776"/>
      <c r="M8" s="744" t="s">
        <v>105</v>
      </c>
      <c r="N8" s="744"/>
      <c r="O8" s="744"/>
      <c r="P8" s="744"/>
      <c r="Q8" s="744"/>
    </row>
    <row r="9" spans="1:22" s="14" customFormat="1" ht="38.25" x14ac:dyDescent="0.2">
      <c r="A9" s="775"/>
      <c r="B9" s="775"/>
      <c r="C9" s="5" t="s">
        <v>204</v>
      </c>
      <c r="D9" s="5" t="s">
        <v>205</v>
      </c>
      <c r="E9" s="5" t="s">
        <v>350</v>
      </c>
      <c r="F9" s="5" t="s">
        <v>211</v>
      </c>
      <c r="G9" s="5" t="s">
        <v>110</v>
      </c>
      <c r="H9" s="5" t="s">
        <v>204</v>
      </c>
      <c r="I9" s="5" t="s">
        <v>205</v>
      </c>
      <c r="J9" s="5" t="s">
        <v>350</v>
      </c>
      <c r="K9" s="5" t="s">
        <v>211</v>
      </c>
      <c r="L9" s="5" t="s">
        <v>111</v>
      </c>
      <c r="M9" s="5" t="s">
        <v>204</v>
      </c>
      <c r="N9" s="5" t="s">
        <v>205</v>
      </c>
      <c r="O9" s="5" t="s">
        <v>350</v>
      </c>
      <c r="P9" s="5" t="s">
        <v>211</v>
      </c>
      <c r="Q9" s="5" t="s">
        <v>112</v>
      </c>
      <c r="R9" s="28"/>
      <c r="S9" s="29"/>
    </row>
    <row r="10" spans="1:22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3">
        <v>15</v>
      </c>
      <c r="P10" s="5">
        <v>16</v>
      </c>
      <c r="Q10" s="5">
        <v>17</v>
      </c>
    </row>
    <row r="11" spans="1:22" x14ac:dyDescent="0.2">
      <c r="A11" s="17">
        <v>1</v>
      </c>
      <c r="B11" s="184" t="s">
        <v>875</v>
      </c>
      <c r="C11" s="18">
        <v>66394</v>
      </c>
      <c r="D11" s="18">
        <v>17599</v>
      </c>
      <c r="E11" s="18">
        <v>0</v>
      </c>
      <c r="F11" s="18">
        <v>150</v>
      </c>
      <c r="G11" s="18">
        <f>SUM(C11:F11)</f>
        <v>84143</v>
      </c>
      <c r="H11" s="348">
        <f>M11/S11</f>
        <v>42229.135999999999</v>
      </c>
      <c r="I11" s="348">
        <f>N11/S11</f>
        <v>11616.871999999999</v>
      </c>
      <c r="J11" s="18">
        <v>0</v>
      </c>
      <c r="K11" s="348">
        <f>P11/S11</f>
        <v>68.180000000000007</v>
      </c>
      <c r="L11" s="348">
        <f t="shared" ref="L11:L35" si="0">SUM(H11:K11)</f>
        <v>53914.188000000002</v>
      </c>
      <c r="M11" s="18">
        <v>10557284</v>
      </c>
      <c r="N11" s="18">
        <v>2904218</v>
      </c>
      <c r="O11" s="624">
        <v>0</v>
      </c>
      <c r="P11" s="18">
        <v>17045</v>
      </c>
      <c r="Q11" s="18">
        <f t="shared" ref="Q11:Q35" si="1">SUM(M11:P11)</f>
        <v>13478547</v>
      </c>
      <c r="S11" s="15">
        <v>250</v>
      </c>
      <c r="T11" s="362">
        <v>256</v>
      </c>
      <c r="U11" s="15">
        <v>252</v>
      </c>
      <c r="V11" s="15">
        <v>251</v>
      </c>
    </row>
    <row r="12" spans="1:22" x14ac:dyDescent="0.2">
      <c r="A12" s="17">
        <v>2</v>
      </c>
      <c r="B12" s="184" t="s">
        <v>876</v>
      </c>
      <c r="C12" s="18">
        <v>16265</v>
      </c>
      <c r="D12" s="18">
        <v>6912</v>
      </c>
      <c r="E12" s="18">
        <v>0</v>
      </c>
      <c r="F12" s="18">
        <v>0</v>
      </c>
      <c r="G12" s="18">
        <f t="shared" ref="G12:G34" si="2">SUM(C12:F12)</f>
        <v>23177</v>
      </c>
      <c r="H12" s="348">
        <f t="shared" ref="H12:H34" si="3">M12/S12</f>
        <v>9980.5040000000008</v>
      </c>
      <c r="I12" s="348">
        <f t="shared" ref="I12:I34" si="4">N12/S12</f>
        <v>5023.924</v>
      </c>
      <c r="J12" s="18">
        <v>0</v>
      </c>
      <c r="K12" s="348">
        <f t="shared" ref="K12:K34" si="5">P12/S12</f>
        <v>0</v>
      </c>
      <c r="L12" s="348">
        <f t="shared" si="0"/>
        <v>15004.428</v>
      </c>
      <c r="M12" s="18">
        <v>2495126</v>
      </c>
      <c r="N12" s="18">
        <v>1255981</v>
      </c>
      <c r="O12" s="624">
        <v>0</v>
      </c>
      <c r="P12" s="18">
        <v>0</v>
      </c>
      <c r="Q12" s="18">
        <f t="shared" si="1"/>
        <v>3751107</v>
      </c>
      <c r="S12" s="15">
        <v>250</v>
      </c>
      <c r="T12" s="362">
        <v>256</v>
      </c>
      <c r="U12" s="15">
        <v>248</v>
      </c>
      <c r="V12" s="15">
        <v>302</v>
      </c>
    </row>
    <row r="13" spans="1:22" x14ac:dyDescent="0.2">
      <c r="A13" s="17">
        <v>3</v>
      </c>
      <c r="B13" s="184" t="s">
        <v>877</v>
      </c>
      <c r="C13" s="18">
        <v>21065</v>
      </c>
      <c r="D13" s="18">
        <v>1269</v>
      </c>
      <c r="E13" s="18">
        <v>0</v>
      </c>
      <c r="F13" s="18">
        <v>0</v>
      </c>
      <c r="G13" s="18">
        <f t="shared" si="2"/>
        <v>22334</v>
      </c>
      <c r="H13" s="348">
        <f t="shared" si="3"/>
        <v>12824.392</v>
      </c>
      <c r="I13" s="348">
        <f t="shared" si="4"/>
        <v>930.03599999999994</v>
      </c>
      <c r="J13" s="18">
        <v>0</v>
      </c>
      <c r="K13" s="348">
        <f t="shared" si="5"/>
        <v>0</v>
      </c>
      <c r="L13" s="348">
        <f t="shared" si="0"/>
        <v>13754.428</v>
      </c>
      <c r="M13" s="18">
        <v>3206098</v>
      </c>
      <c r="N13" s="18">
        <v>232509</v>
      </c>
      <c r="O13" s="624">
        <v>0</v>
      </c>
      <c r="P13" s="18">
        <v>0</v>
      </c>
      <c r="Q13" s="18">
        <f t="shared" si="1"/>
        <v>3438607</v>
      </c>
      <c r="S13" s="15">
        <v>250</v>
      </c>
      <c r="T13" s="362">
        <v>256</v>
      </c>
      <c r="U13" s="15">
        <v>249</v>
      </c>
      <c r="V13" s="15">
        <v>302</v>
      </c>
    </row>
    <row r="14" spans="1:22" x14ac:dyDescent="0.2">
      <c r="A14" s="17">
        <v>4</v>
      </c>
      <c r="B14" s="184" t="s">
        <v>878</v>
      </c>
      <c r="C14" s="18">
        <v>35698</v>
      </c>
      <c r="D14" s="18">
        <v>9697</v>
      </c>
      <c r="E14" s="18">
        <v>0</v>
      </c>
      <c r="F14" s="18">
        <v>77</v>
      </c>
      <c r="G14" s="18">
        <f t="shared" si="2"/>
        <v>45472</v>
      </c>
      <c r="H14" s="348">
        <f t="shared" si="3"/>
        <v>28392.78</v>
      </c>
      <c r="I14" s="348">
        <f t="shared" si="4"/>
        <v>6792.4160000000002</v>
      </c>
      <c r="J14" s="18">
        <v>0</v>
      </c>
      <c r="K14" s="348">
        <f t="shared" si="5"/>
        <v>60.94</v>
      </c>
      <c r="L14" s="348">
        <f t="shared" si="0"/>
        <v>35246.135999999999</v>
      </c>
      <c r="M14" s="18">
        <v>7098195</v>
      </c>
      <c r="N14" s="18">
        <v>1698104</v>
      </c>
      <c r="O14" s="624">
        <v>0</v>
      </c>
      <c r="P14" s="18">
        <v>15235</v>
      </c>
      <c r="Q14" s="18">
        <f t="shared" si="1"/>
        <v>8811534</v>
      </c>
      <c r="S14" s="15">
        <v>250</v>
      </c>
      <c r="T14" s="362">
        <v>256</v>
      </c>
      <c r="U14" s="15">
        <v>254</v>
      </c>
      <c r="V14" s="15">
        <v>302</v>
      </c>
    </row>
    <row r="15" spans="1:22" x14ac:dyDescent="0.2">
      <c r="A15" s="17">
        <v>5</v>
      </c>
      <c r="B15" s="184" t="s">
        <v>879</v>
      </c>
      <c r="C15" s="18">
        <v>17392</v>
      </c>
      <c r="D15" s="18">
        <v>11801</v>
      </c>
      <c r="E15" s="18">
        <v>0</v>
      </c>
      <c r="F15" s="18">
        <v>0</v>
      </c>
      <c r="G15" s="18">
        <f t="shared" si="2"/>
        <v>29193</v>
      </c>
      <c r="H15" s="348">
        <f t="shared" si="3"/>
        <v>11436.572</v>
      </c>
      <c r="I15" s="348">
        <f t="shared" si="4"/>
        <v>8365.384</v>
      </c>
      <c r="J15" s="18">
        <v>0</v>
      </c>
      <c r="K15" s="348">
        <f t="shared" si="5"/>
        <v>0</v>
      </c>
      <c r="L15" s="348">
        <f t="shared" si="0"/>
        <v>19801.955999999998</v>
      </c>
      <c r="M15" s="18">
        <v>2859143</v>
      </c>
      <c r="N15" s="18">
        <v>2091346</v>
      </c>
      <c r="O15" s="624">
        <v>0</v>
      </c>
      <c r="P15" s="18">
        <v>0</v>
      </c>
      <c r="Q15" s="18">
        <f t="shared" si="1"/>
        <v>4950489</v>
      </c>
      <c r="S15" s="15">
        <v>250</v>
      </c>
      <c r="T15" s="362">
        <v>256</v>
      </c>
      <c r="U15" s="15">
        <v>246</v>
      </c>
      <c r="V15" s="15">
        <v>302</v>
      </c>
    </row>
    <row r="16" spans="1:22" x14ac:dyDescent="0.2">
      <c r="A16" s="17">
        <v>6</v>
      </c>
      <c r="B16" s="184" t="s">
        <v>880</v>
      </c>
      <c r="C16" s="18">
        <v>57026</v>
      </c>
      <c r="D16" s="18">
        <v>9820</v>
      </c>
      <c r="E16" s="18">
        <v>0</v>
      </c>
      <c r="F16" s="18">
        <v>70</v>
      </c>
      <c r="G16" s="18">
        <f t="shared" si="2"/>
        <v>66916</v>
      </c>
      <c r="H16" s="348">
        <f t="shared" si="3"/>
        <v>36624.959999999999</v>
      </c>
      <c r="I16" s="348">
        <f t="shared" si="4"/>
        <v>6302.92</v>
      </c>
      <c r="J16" s="18">
        <v>0</v>
      </c>
      <c r="K16" s="348">
        <f t="shared" si="5"/>
        <v>17.84</v>
      </c>
      <c r="L16" s="348">
        <f t="shared" si="0"/>
        <v>42945.719999999994</v>
      </c>
      <c r="M16" s="18">
        <v>9156240</v>
      </c>
      <c r="N16" s="18">
        <v>1575730</v>
      </c>
      <c r="O16" s="624">
        <v>0</v>
      </c>
      <c r="P16" s="18">
        <v>4460</v>
      </c>
      <c r="Q16" s="18">
        <f t="shared" si="1"/>
        <v>10736430</v>
      </c>
      <c r="S16" s="15">
        <v>250</v>
      </c>
      <c r="T16" s="362">
        <v>256</v>
      </c>
      <c r="U16" s="15">
        <v>248</v>
      </c>
      <c r="V16" s="15">
        <v>302</v>
      </c>
    </row>
    <row r="17" spans="1:22" x14ac:dyDescent="0.2">
      <c r="A17" s="17">
        <v>7</v>
      </c>
      <c r="B17" s="184" t="s">
        <v>881</v>
      </c>
      <c r="C17" s="18">
        <v>43739</v>
      </c>
      <c r="D17" s="18">
        <v>0</v>
      </c>
      <c r="E17" s="18">
        <v>0</v>
      </c>
      <c r="F17" s="18">
        <v>0</v>
      </c>
      <c r="G17" s="18">
        <f t="shared" si="2"/>
        <v>43739</v>
      </c>
      <c r="H17" s="348">
        <f t="shared" si="3"/>
        <v>27364.412</v>
      </c>
      <c r="I17" s="348">
        <f t="shared" si="4"/>
        <v>0</v>
      </c>
      <c r="J17" s="18">
        <v>0</v>
      </c>
      <c r="K17" s="348">
        <f t="shared" si="5"/>
        <v>0</v>
      </c>
      <c r="L17" s="348">
        <f t="shared" si="0"/>
        <v>27364.412</v>
      </c>
      <c r="M17" s="18">
        <v>6841103</v>
      </c>
      <c r="N17" s="18">
        <v>0</v>
      </c>
      <c r="O17" s="624">
        <v>0</v>
      </c>
      <c r="P17" s="18">
        <v>0</v>
      </c>
      <c r="Q17" s="18">
        <f t="shared" si="1"/>
        <v>6841103</v>
      </c>
      <c r="S17" s="15">
        <v>250</v>
      </c>
      <c r="T17" s="362">
        <v>256</v>
      </c>
      <c r="U17" s="15">
        <v>249</v>
      </c>
      <c r="V17" s="15">
        <v>302</v>
      </c>
    </row>
    <row r="18" spans="1:22" x14ac:dyDescent="0.2">
      <c r="A18" s="17">
        <v>8</v>
      </c>
      <c r="B18" s="184" t="s">
        <v>882</v>
      </c>
      <c r="C18" s="18">
        <v>73320</v>
      </c>
      <c r="D18" s="18">
        <v>6575</v>
      </c>
      <c r="E18" s="18">
        <v>0</v>
      </c>
      <c r="F18" s="18">
        <v>57</v>
      </c>
      <c r="G18" s="18">
        <f t="shared" si="2"/>
        <v>79952</v>
      </c>
      <c r="H18" s="348">
        <f t="shared" si="3"/>
        <v>43105.016000000003</v>
      </c>
      <c r="I18" s="348">
        <f t="shared" si="4"/>
        <v>4275.6760000000004</v>
      </c>
      <c r="J18" s="18">
        <v>0</v>
      </c>
      <c r="K18" s="348">
        <f t="shared" si="5"/>
        <v>42.043999999999997</v>
      </c>
      <c r="L18" s="348">
        <f t="shared" si="0"/>
        <v>47422.736000000004</v>
      </c>
      <c r="M18" s="18">
        <v>10776254</v>
      </c>
      <c r="N18" s="18">
        <v>1068919</v>
      </c>
      <c r="O18" s="624">
        <v>0</v>
      </c>
      <c r="P18" s="18">
        <v>10511</v>
      </c>
      <c r="Q18" s="18">
        <f t="shared" si="1"/>
        <v>11855684</v>
      </c>
      <c r="S18" s="15">
        <v>250</v>
      </c>
      <c r="T18" s="362">
        <v>256</v>
      </c>
      <c r="U18" s="15">
        <v>251</v>
      </c>
      <c r="V18" s="15">
        <v>311</v>
      </c>
    </row>
    <row r="19" spans="1:22" x14ac:dyDescent="0.2">
      <c r="A19" s="17">
        <v>9</v>
      </c>
      <c r="B19" s="184" t="s">
        <v>883</v>
      </c>
      <c r="C19" s="18">
        <v>114305</v>
      </c>
      <c r="D19" s="18">
        <v>878</v>
      </c>
      <c r="E19" s="18">
        <v>0</v>
      </c>
      <c r="F19" s="18">
        <v>485</v>
      </c>
      <c r="G19" s="18">
        <f t="shared" si="2"/>
        <v>115668</v>
      </c>
      <c r="H19" s="348">
        <f t="shared" si="3"/>
        <v>71679.135999999999</v>
      </c>
      <c r="I19" s="348">
        <f t="shared" si="4"/>
        <v>767.58399999999995</v>
      </c>
      <c r="J19" s="18">
        <v>0</v>
      </c>
      <c r="K19" s="348">
        <f t="shared" si="5"/>
        <v>397.95600000000002</v>
      </c>
      <c r="L19" s="348">
        <f t="shared" si="0"/>
        <v>72844.676000000007</v>
      </c>
      <c r="M19" s="18">
        <v>17919784</v>
      </c>
      <c r="N19" s="18">
        <v>191896</v>
      </c>
      <c r="O19" s="624">
        <v>0</v>
      </c>
      <c r="P19" s="18">
        <v>99489</v>
      </c>
      <c r="Q19" s="18">
        <f t="shared" si="1"/>
        <v>18211169</v>
      </c>
      <c r="S19" s="15">
        <v>250</v>
      </c>
      <c r="T19" s="362">
        <v>256</v>
      </c>
      <c r="U19" s="15">
        <v>242</v>
      </c>
      <c r="V19" s="15">
        <v>302</v>
      </c>
    </row>
    <row r="20" spans="1:22" x14ac:dyDescent="0.2">
      <c r="A20" s="17">
        <v>10</v>
      </c>
      <c r="B20" s="184" t="s">
        <v>884</v>
      </c>
      <c r="C20" s="18">
        <v>40942</v>
      </c>
      <c r="D20" s="18">
        <v>2344</v>
      </c>
      <c r="E20" s="18">
        <v>0</v>
      </c>
      <c r="F20" s="18">
        <v>0</v>
      </c>
      <c r="G20" s="18">
        <f t="shared" si="2"/>
        <v>43286</v>
      </c>
      <c r="H20" s="348">
        <f t="shared" si="3"/>
        <v>21479.328000000001</v>
      </c>
      <c r="I20" s="348">
        <f t="shared" si="4"/>
        <v>1708.4960000000001</v>
      </c>
      <c r="J20" s="18">
        <v>0</v>
      </c>
      <c r="K20" s="348">
        <f t="shared" si="5"/>
        <v>0</v>
      </c>
      <c r="L20" s="348">
        <f t="shared" si="0"/>
        <v>23187.824000000001</v>
      </c>
      <c r="M20" s="18">
        <v>5369832</v>
      </c>
      <c r="N20" s="18">
        <v>427124</v>
      </c>
      <c r="O20" s="624">
        <v>0</v>
      </c>
      <c r="P20" s="18">
        <v>0</v>
      </c>
      <c r="Q20" s="18">
        <f t="shared" si="1"/>
        <v>5796956</v>
      </c>
      <c r="S20" s="15">
        <v>250</v>
      </c>
      <c r="T20" s="362">
        <v>256</v>
      </c>
      <c r="U20" s="15">
        <v>244</v>
      </c>
      <c r="V20" s="15">
        <v>302</v>
      </c>
    </row>
    <row r="21" spans="1:22" x14ac:dyDescent="0.2">
      <c r="A21" s="17">
        <v>11</v>
      </c>
      <c r="B21" s="184" t="s">
        <v>885</v>
      </c>
      <c r="C21" s="18">
        <v>74539</v>
      </c>
      <c r="D21" s="18">
        <v>783</v>
      </c>
      <c r="E21" s="18">
        <v>0</v>
      </c>
      <c r="F21" s="18">
        <v>73</v>
      </c>
      <c r="G21" s="18">
        <f t="shared" si="2"/>
        <v>75395</v>
      </c>
      <c r="H21" s="348">
        <f t="shared" si="3"/>
        <v>38120.432000000001</v>
      </c>
      <c r="I21" s="348">
        <f t="shared" si="4"/>
        <v>529.74</v>
      </c>
      <c r="J21" s="18">
        <v>0</v>
      </c>
      <c r="K21" s="348">
        <f t="shared" si="5"/>
        <v>51.692</v>
      </c>
      <c r="L21" s="348">
        <f t="shared" si="0"/>
        <v>38701.864000000001</v>
      </c>
      <c r="M21" s="18">
        <v>9530108</v>
      </c>
      <c r="N21" s="18">
        <v>132435</v>
      </c>
      <c r="O21" s="624">
        <v>0</v>
      </c>
      <c r="P21" s="18">
        <v>12923</v>
      </c>
      <c r="Q21" s="18">
        <f t="shared" si="1"/>
        <v>9675466</v>
      </c>
      <c r="S21" s="15">
        <v>250</v>
      </c>
      <c r="T21" s="362">
        <v>256</v>
      </c>
      <c r="U21" s="15">
        <v>253</v>
      </c>
      <c r="V21" s="15">
        <v>302</v>
      </c>
    </row>
    <row r="22" spans="1:22" x14ac:dyDescent="0.2">
      <c r="A22" s="17">
        <v>12</v>
      </c>
      <c r="B22" s="241" t="s">
        <v>886</v>
      </c>
      <c r="C22" s="18">
        <v>61381</v>
      </c>
      <c r="D22" s="18">
        <v>3285</v>
      </c>
      <c r="E22" s="18">
        <v>0</v>
      </c>
      <c r="F22" s="18">
        <v>383</v>
      </c>
      <c r="G22" s="18">
        <f t="shared" si="2"/>
        <v>65049</v>
      </c>
      <c r="H22" s="348">
        <f t="shared" si="3"/>
        <v>40692.06</v>
      </c>
      <c r="I22" s="348">
        <f t="shared" si="4"/>
        <v>2342.56</v>
      </c>
      <c r="J22" s="18">
        <v>0</v>
      </c>
      <c r="K22" s="348">
        <f t="shared" si="5"/>
        <v>247.81200000000001</v>
      </c>
      <c r="L22" s="348">
        <f t="shared" si="0"/>
        <v>43282.431999999993</v>
      </c>
      <c r="M22" s="18">
        <v>10173015</v>
      </c>
      <c r="N22" s="18">
        <v>585640</v>
      </c>
      <c r="O22" s="624">
        <v>0</v>
      </c>
      <c r="P22" s="18">
        <v>61953</v>
      </c>
      <c r="Q22" s="18">
        <f t="shared" si="1"/>
        <v>10820608</v>
      </c>
      <c r="S22" s="15">
        <v>250</v>
      </c>
      <c r="T22" s="362">
        <v>256</v>
      </c>
      <c r="U22" s="15">
        <v>256</v>
      </c>
      <c r="V22" s="15">
        <v>302</v>
      </c>
    </row>
    <row r="23" spans="1:22" x14ac:dyDescent="0.2">
      <c r="A23" s="17">
        <v>13</v>
      </c>
      <c r="B23" s="184" t="s">
        <v>887</v>
      </c>
      <c r="C23" s="18">
        <v>30049</v>
      </c>
      <c r="D23" s="18">
        <v>426</v>
      </c>
      <c r="E23" s="18">
        <v>0</v>
      </c>
      <c r="F23" s="18">
        <v>96</v>
      </c>
      <c r="G23" s="18">
        <f t="shared" si="2"/>
        <v>30571</v>
      </c>
      <c r="H23" s="348">
        <f t="shared" si="3"/>
        <v>20531.38</v>
      </c>
      <c r="I23" s="348">
        <f t="shared" si="4"/>
        <v>311.44799999999998</v>
      </c>
      <c r="J23" s="18">
        <v>0</v>
      </c>
      <c r="K23" s="348">
        <f t="shared" si="5"/>
        <v>71.007999999999996</v>
      </c>
      <c r="L23" s="348">
        <f t="shared" si="0"/>
        <v>20913.836000000003</v>
      </c>
      <c r="M23" s="18">
        <v>5132845</v>
      </c>
      <c r="N23" s="18">
        <v>77862</v>
      </c>
      <c r="O23" s="624">
        <v>0</v>
      </c>
      <c r="P23" s="18">
        <v>17752</v>
      </c>
      <c r="Q23" s="18">
        <f t="shared" si="1"/>
        <v>5228459</v>
      </c>
      <c r="S23" s="15">
        <v>250</v>
      </c>
      <c r="T23" s="362">
        <v>256</v>
      </c>
      <c r="U23" s="15">
        <v>257</v>
      </c>
      <c r="V23" s="15">
        <v>302</v>
      </c>
    </row>
    <row r="24" spans="1:22" x14ac:dyDescent="0.2">
      <c r="A24" s="17">
        <v>14</v>
      </c>
      <c r="B24" s="184" t="s">
        <v>888</v>
      </c>
      <c r="C24" s="18">
        <v>32237</v>
      </c>
      <c r="D24" s="18">
        <v>248</v>
      </c>
      <c r="E24" s="18">
        <v>0</v>
      </c>
      <c r="F24" s="18">
        <v>254</v>
      </c>
      <c r="G24" s="18">
        <f t="shared" si="2"/>
        <v>32739</v>
      </c>
      <c r="H24" s="348">
        <f t="shared" si="3"/>
        <v>20692.736000000001</v>
      </c>
      <c r="I24" s="348">
        <f t="shared" si="4"/>
        <v>109.82</v>
      </c>
      <c r="J24" s="18">
        <v>0</v>
      </c>
      <c r="K24" s="348">
        <f t="shared" si="5"/>
        <v>113.488</v>
      </c>
      <c r="L24" s="348">
        <f t="shared" si="0"/>
        <v>20916.044000000002</v>
      </c>
      <c r="M24" s="18">
        <v>5173184</v>
      </c>
      <c r="N24" s="18">
        <v>27455</v>
      </c>
      <c r="O24" s="624">
        <v>0</v>
      </c>
      <c r="P24" s="18">
        <v>28372</v>
      </c>
      <c r="Q24" s="18">
        <f t="shared" si="1"/>
        <v>5229011</v>
      </c>
      <c r="S24" s="15">
        <v>250</v>
      </c>
      <c r="T24" s="362">
        <v>256</v>
      </c>
      <c r="U24" s="15">
        <v>253</v>
      </c>
      <c r="V24" s="15">
        <v>302</v>
      </c>
    </row>
    <row r="25" spans="1:22" x14ac:dyDescent="0.2">
      <c r="A25" s="17">
        <v>15</v>
      </c>
      <c r="B25" s="184" t="s">
        <v>889</v>
      </c>
      <c r="C25" s="18">
        <v>61415</v>
      </c>
      <c r="D25" s="18">
        <v>492</v>
      </c>
      <c r="E25" s="18">
        <v>0</v>
      </c>
      <c r="F25" s="18">
        <v>184</v>
      </c>
      <c r="G25" s="18">
        <f t="shared" si="2"/>
        <v>62091</v>
      </c>
      <c r="H25" s="348">
        <f t="shared" si="3"/>
        <v>46071.62</v>
      </c>
      <c r="I25" s="348">
        <f t="shared" si="4"/>
        <v>409.45600000000002</v>
      </c>
      <c r="J25" s="18">
        <v>0</v>
      </c>
      <c r="K25" s="348">
        <f t="shared" si="5"/>
        <v>153.30000000000001</v>
      </c>
      <c r="L25" s="348">
        <f t="shared" si="0"/>
        <v>46634.376000000004</v>
      </c>
      <c r="M25" s="18">
        <v>11517905</v>
      </c>
      <c r="N25" s="18">
        <v>102364</v>
      </c>
      <c r="O25" s="624">
        <v>0</v>
      </c>
      <c r="P25" s="18">
        <v>38325</v>
      </c>
      <c r="Q25" s="18">
        <f t="shared" si="1"/>
        <v>11658594</v>
      </c>
      <c r="S25" s="15">
        <v>250</v>
      </c>
      <c r="T25" s="362">
        <v>256</v>
      </c>
      <c r="U25" s="15">
        <v>256</v>
      </c>
      <c r="V25" s="15">
        <v>302</v>
      </c>
    </row>
    <row r="26" spans="1:22" x14ac:dyDescent="0.2">
      <c r="A26" s="17">
        <v>16</v>
      </c>
      <c r="B26" s="184" t="s">
        <v>890</v>
      </c>
      <c r="C26" s="18">
        <v>111200</v>
      </c>
      <c r="D26" s="18">
        <v>3229</v>
      </c>
      <c r="E26" s="18">
        <v>0</v>
      </c>
      <c r="F26" s="18">
        <v>789</v>
      </c>
      <c r="G26" s="18">
        <f t="shared" si="2"/>
        <v>115218</v>
      </c>
      <c r="H26" s="348">
        <f t="shared" si="3"/>
        <v>51480.160000000003</v>
      </c>
      <c r="I26" s="348">
        <f t="shared" si="4"/>
        <v>1367.06</v>
      </c>
      <c r="J26" s="18">
        <v>0</v>
      </c>
      <c r="K26" s="348">
        <f t="shared" si="5"/>
        <v>363.62799999999999</v>
      </c>
      <c r="L26" s="348">
        <f t="shared" si="0"/>
        <v>53210.847999999998</v>
      </c>
      <c r="M26" s="18">
        <v>12870040</v>
      </c>
      <c r="N26" s="18">
        <v>341765</v>
      </c>
      <c r="O26" s="624">
        <v>0</v>
      </c>
      <c r="P26" s="18">
        <v>90907</v>
      </c>
      <c r="Q26" s="18">
        <f t="shared" si="1"/>
        <v>13302712</v>
      </c>
      <c r="S26" s="15">
        <v>250</v>
      </c>
      <c r="T26" s="362">
        <v>256</v>
      </c>
      <c r="U26" s="15">
        <v>254</v>
      </c>
      <c r="V26" s="15">
        <v>302</v>
      </c>
    </row>
    <row r="27" spans="1:22" x14ac:dyDescent="0.2">
      <c r="A27" s="17">
        <v>17</v>
      </c>
      <c r="B27" s="184" t="s">
        <v>891</v>
      </c>
      <c r="C27" s="18">
        <v>80618</v>
      </c>
      <c r="D27" s="18">
        <v>3748</v>
      </c>
      <c r="E27" s="18">
        <v>0</v>
      </c>
      <c r="F27" s="18">
        <v>94</v>
      </c>
      <c r="G27" s="18">
        <f t="shared" si="2"/>
        <v>84460</v>
      </c>
      <c r="H27" s="348">
        <f t="shared" si="3"/>
        <v>46728.756000000001</v>
      </c>
      <c r="I27" s="348">
        <f t="shared" si="4"/>
        <v>1980.384</v>
      </c>
      <c r="J27" s="18">
        <v>0</v>
      </c>
      <c r="K27" s="348">
        <f t="shared" si="5"/>
        <v>72.811999999999998</v>
      </c>
      <c r="L27" s="348">
        <f t="shared" si="0"/>
        <v>48781.951999999997</v>
      </c>
      <c r="M27" s="18">
        <v>11682189</v>
      </c>
      <c r="N27" s="18">
        <v>495096</v>
      </c>
      <c r="O27" s="624">
        <v>0</v>
      </c>
      <c r="P27" s="18">
        <v>18203</v>
      </c>
      <c r="Q27" s="18">
        <f t="shared" si="1"/>
        <v>12195488</v>
      </c>
      <c r="S27" s="15">
        <v>250</v>
      </c>
      <c r="T27" s="362">
        <v>256</v>
      </c>
      <c r="U27" s="15">
        <v>241</v>
      </c>
      <c r="V27" s="15">
        <v>302</v>
      </c>
    </row>
    <row r="28" spans="1:22" x14ac:dyDescent="0.2">
      <c r="A28" s="17">
        <v>18</v>
      </c>
      <c r="B28" s="241" t="s">
        <v>892</v>
      </c>
      <c r="C28" s="18">
        <v>65477</v>
      </c>
      <c r="D28" s="18">
        <f>753+43</f>
        <v>796</v>
      </c>
      <c r="E28" s="18">
        <v>0</v>
      </c>
      <c r="F28" s="18">
        <v>0</v>
      </c>
      <c r="G28" s="18">
        <f t="shared" si="2"/>
        <v>66273</v>
      </c>
      <c r="H28" s="348">
        <f t="shared" si="3"/>
        <v>40597.536</v>
      </c>
      <c r="I28" s="348">
        <f t="shared" si="4"/>
        <v>311.76799999999997</v>
      </c>
      <c r="J28" s="18">
        <v>0</v>
      </c>
      <c r="K28" s="348">
        <f t="shared" si="5"/>
        <v>0</v>
      </c>
      <c r="L28" s="348">
        <f t="shared" si="0"/>
        <v>40909.303999999996</v>
      </c>
      <c r="M28" s="18">
        <v>10149384</v>
      </c>
      <c r="N28" s="18">
        <f>74744+3198</f>
        <v>77942</v>
      </c>
      <c r="O28" s="624">
        <v>0</v>
      </c>
      <c r="P28" s="18">
        <v>0</v>
      </c>
      <c r="Q28" s="18">
        <f t="shared" si="1"/>
        <v>10227326</v>
      </c>
      <c r="S28" s="15">
        <v>250</v>
      </c>
      <c r="T28" s="362">
        <v>256</v>
      </c>
      <c r="U28" s="15">
        <v>253</v>
      </c>
      <c r="V28" s="15">
        <v>302</v>
      </c>
    </row>
    <row r="29" spans="1:22" x14ac:dyDescent="0.2">
      <c r="A29" s="17">
        <v>19</v>
      </c>
      <c r="B29" s="184" t="s">
        <v>893</v>
      </c>
      <c r="C29" s="18">
        <v>62557</v>
      </c>
      <c r="D29" s="18">
        <v>1636</v>
      </c>
      <c r="E29" s="18">
        <v>0</v>
      </c>
      <c r="F29" s="18">
        <v>106</v>
      </c>
      <c r="G29" s="18">
        <f t="shared" si="2"/>
        <v>64299</v>
      </c>
      <c r="H29" s="348">
        <f t="shared" si="3"/>
        <v>29777.119999999999</v>
      </c>
      <c r="I29" s="348">
        <f t="shared" si="4"/>
        <v>724.20399999999995</v>
      </c>
      <c r="J29" s="18">
        <v>0</v>
      </c>
      <c r="K29" s="348">
        <f t="shared" si="5"/>
        <v>79.64</v>
      </c>
      <c r="L29" s="348">
        <f t="shared" si="0"/>
        <v>30580.964</v>
      </c>
      <c r="M29" s="18">
        <v>7444280</v>
      </c>
      <c r="N29" s="18">
        <v>181051</v>
      </c>
      <c r="O29" s="624">
        <v>0</v>
      </c>
      <c r="P29" s="18">
        <v>19910</v>
      </c>
      <c r="Q29" s="18">
        <f t="shared" si="1"/>
        <v>7645241</v>
      </c>
      <c r="S29" s="15">
        <v>250</v>
      </c>
      <c r="T29" s="362">
        <v>256</v>
      </c>
      <c r="U29" s="15">
        <v>251</v>
      </c>
      <c r="V29" s="15">
        <v>302</v>
      </c>
    </row>
    <row r="30" spans="1:22" x14ac:dyDescent="0.2">
      <c r="A30" s="17">
        <v>20</v>
      </c>
      <c r="B30" s="184" t="s">
        <v>894</v>
      </c>
      <c r="C30" s="18">
        <v>37689</v>
      </c>
      <c r="D30" s="18">
        <v>338</v>
      </c>
      <c r="E30" s="18">
        <v>0</v>
      </c>
      <c r="F30" s="18">
        <v>179</v>
      </c>
      <c r="G30" s="18">
        <f t="shared" si="2"/>
        <v>38206</v>
      </c>
      <c r="H30" s="348">
        <f t="shared" si="3"/>
        <v>21001.96</v>
      </c>
      <c r="I30" s="348">
        <f t="shared" si="4"/>
        <v>193.31200000000001</v>
      </c>
      <c r="J30" s="18">
        <v>0</v>
      </c>
      <c r="K30" s="348">
        <f t="shared" si="5"/>
        <v>78.215999999999994</v>
      </c>
      <c r="L30" s="348">
        <f t="shared" si="0"/>
        <v>21273.488000000001</v>
      </c>
      <c r="M30" s="18">
        <v>5250490</v>
      </c>
      <c r="N30" s="18">
        <v>48328</v>
      </c>
      <c r="O30" s="624">
        <v>0</v>
      </c>
      <c r="P30" s="18">
        <v>19554</v>
      </c>
      <c r="Q30" s="18">
        <f t="shared" si="1"/>
        <v>5318372</v>
      </c>
      <c r="S30" s="15">
        <v>250</v>
      </c>
      <c r="T30" s="362">
        <v>256</v>
      </c>
      <c r="U30" s="15">
        <v>252</v>
      </c>
      <c r="V30" s="15">
        <v>302</v>
      </c>
    </row>
    <row r="31" spans="1:22" x14ac:dyDescent="0.2">
      <c r="A31" s="17">
        <v>21</v>
      </c>
      <c r="B31" s="184" t="s">
        <v>895</v>
      </c>
      <c r="C31" s="18">
        <v>50574</v>
      </c>
      <c r="D31" s="18">
        <v>845</v>
      </c>
      <c r="E31" s="18">
        <v>0</v>
      </c>
      <c r="F31" s="18">
        <v>2620</v>
      </c>
      <c r="G31" s="18">
        <f t="shared" si="2"/>
        <v>54039</v>
      </c>
      <c r="H31" s="348">
        <f t="shared" si="3"/>
        <v>25480.335999999999</v>
      </c>
      <c r="I31" s="348">
        <f t="shared" si="4"/>
        <v>535.97199999999998</v>
      </c>
      <c r="J31" s="18">
        <v>0</v>
      </c>
      <c r="K31" s="348">
        <f t="shared" si="5"/>
        <v>1296.6479999999999</v>
      </c>
      <c r="L31" s="348">
        <f t="shared" si="0"/>
        <v>27312.956000000002</v>
      </c>
      <c r="M31" s="18">
        <v>6370084</v>
      </c>
      <c r="N31" s="18">
        <v>133993</v>
      </c>
      <c r="O31" s="624">
        <v>0</v>
      </c>
      <c r="P31" s="18">
        <v>324162</v>
      </c>
      <c r="Q31" s="18">
        <f t="shared" si="1"/>
        <v>6828239</v>
      </c>
      <c r="S31" s="15">
        <v>250</v>
      </c>
      <c r="T31" s="362">
        <v>256</v>
      </c>
      <c r="U31" s="15">
        <v>249</v>
      </c>
      <c r="V31" s="15">
        <v>302</v>
      </c>
    </row>
    <row r="32" spans="1:22" x14ac:dyDescent="0.2">
      <c r="A32" s="17">
        <v>22</v>
      </c>
      <c r="B32" s="184" t="s">
        <v>896</v>
      </c>
      <c r="C32" s="18">
        <v>30423</v>
      </c>
      <c r="D32" s="18">
        <v>2265</v>
      </c>
      <c r="E32" s="18">
        <v>0</v>
      </c>
      <c r="F32" s="18">
        <v>1915</v>
      </c>
      <c r="G32" s="18">
        <f t="shared" si="2"/>
        <v>34603</v>
      </c>
      <c r="H32" s="348">
        <f t="shared" si="3"/>
        <v>13172.048000000001</v>
      </c>
      <c r="I32" s="348">
        <f t="shared" si="4"/>
        <v>980.75599999999997</v>
      </c>
      <c r="J32" s="18">
        <v>0</v>
      </c>
      <c r="K32" s="348">
        <f t="shared" si="5"/>
        <v>829.16399999999999</v>
      </c>
      <c r="L32" s="348">
        <f t="shared" si="0"/>
        <v>14981.968000000001</v>
      </c>
      <c r="M32" s="18">
        <v>3293012</v>
      </c>
      <c r="N32" s="18">
        <v>245189</v>
      </c>
      <c r="O32" s="624">
        <v>0</v>
      </c>
      <c r="P32" s="18">
        <v>207291</v>
      </c>
      <c r="Q32" s="18">
        <f t="shared" si="1"/>
        <v>3745492</v>
      </c>
      <c r="S32" s="15">
        <v>250</v>
      </c>
      <c r="T32" s="362">
        <v>256</v>
      </c>
      <c r="U32" s="15">
        <v>251</v>
      </c>
      <c r="V32" s="15">
        <v>23</v>
      </c>
    </row>
    <row r="33" spans="1:22" x14ac:dyDescent="0.2">
      <c r="A33" s="17">
        <v>23</v>
      </c>
      <c r="B33" s="184" t="s">
        <v>897</v>
      </c>
      <c r="C33" s="18">
        <v>54253</v>
      </c>
      <c r="D33" s="18">
        <v>1194</v>
      </c>
      <c r="E33" s="18">
        <v>0</v>
      </c>
      <c r="F33" s="18">
        <v>3669</v>
      </c>
      <c r="G33" s="18">
        <f t="shared" si="2"/>
        <v>59116</v>
      </c>
      <c r="H33" s="348">
        <f t="shared" si="3"/>
        <v>30633.616000000002</v>
      </c>
      <c r="I33" s="348">
        <f t="shared" si="4"/>
        <v>860.524</v>
      </c>
      <c r="J33" s="18">
        <v>0</v>
      </c>
      <c r="K33" s="348">
        <f t="shared" si="5"/>
        <v>2114.08</v>
      </c>
      <c r="L33" s="348">
        <f t="shared" si="0"/>
        <v>33608.22</v>
      </c>
      <c r="M33" s="18">
        <v>7658404</v>
      </c>
      <c r="N33" s="18">
        <v>215131</v>
      </c>
      <c r="O33" s="624">
        <v>0</v>
      </c>
      <c r="P33" s="18">
        <v>528520</v>
      </c>
      <c r="Q33" s="18">
        <f t="shared" si="1"/>
        <v>8402055</v>
      </c>
      <c r="S33" s="15">
        <v>250</v>
      </c>
      <c r="T33" s="362">
        <v>256</v>
      </c>
      <c r="U33" s="15">
        <v>248</v>
      </c>
      <c r="V33" s="15">
        <v>302</v>
      </c>
    </row>
    <row r="34" spans="1:22" x14ac:dyDescent="0.2">
      <c r="A34" s="17">
        <v>24</v>
      </c>
      <c r="B34" s="184" t="s">
        <v>898</v>
      </c>
      <c r="C34" s="18">
        <v>89325</v>
      </c>
      <c r="D34" s="18">
        <v>356</v>
      </c>
      <c r="E34" s="18">
        <v>0</v>
      </c>
      <c r="F34" s="18">
        <v>343</v>
      </c>
      <c r="G34" s="18">
        <f t="shared" si="2"/>
        <v>90024</v>
      </c>
      <c r="H34" s="348">
        <f t="shared" si="3"/>
        <v>59125.303999999996</v>
      </c>
      <c r="I34" s="348">
        <f t="shared" si="4"/>
        <v>240.86</v>
      </c>
      <c r="J34" s="18">
        <v>0</v>
      </c>
      <c r="K34" s="348">
        <f t="shared" si="5"/>
        <v>218.05199999999999</v>
      </c>
      <c r="L34" s="348">
        <f t="shared" si="0"/>
        <v>59584.216</v>
      </c>
      <c r="M34" s="18">
        <v>14781326</v>
      </c>
      <c r="N34" s="18">
        <v>60215</v>
      </c>
      <c r="O34" s="624">
        <v>0</v>
      </c>
      <c r="P34" s="18">
        <v>54513</v>
      </c>
      <c r="Q34" s="18">
        <f t="shared" si="1"/>
        <v>14896054</v>
      </c>
      <c r="S34" s="15">
        <v>250</v>
      </c>
      <c r="T34" s="362">
        <v>256</v>
      </c>
      <c r="U34" s="15">
        <v>254</v>
      </c>
      <c r="V34" s="15">
        <v>302</v>
      </c>
    </row>
    <row r="35" spans="1:22" s="14" customFormat="1" x14ac:dyDescent="0.2">
      <c r="A35" s="733" t="s">
        <v>15</v>
      </c>
      <c r="B35" s="735"/>
      <c r="C35" s="28">
        <f>SUM(C11:C34)</f>
        <v>1327883</v>
      </c>
      <c r="D35" s="28">
        <f>SUM(D11:D34)</f>
        <v>86536</v>
      </c>
      <c r="E35" s="28">
        <f>SUM(E11:E34)</f>
        <v>0</v>
      </c>
      <c r="F35" s="28">
        <f>SUM(F11:F34)</f>
        <v>11544</v>
      </c>
      <c r="G35" s="28">
        <f>SUM(C35:F35)</f>
        <v>1425963</v>
      </c>
      <c r="H35" s="350">
        <f>SUM(H11:H34)</f>
        <v>789221.3</v>
      </c>
      <c r="I35" s="350">
        <f>SUM(I11:I34)</f>
        <v>56681.171999999977</v>
      </c>
      <c r="J35" s="350">
        <v>0</v>
      </c>
      <c r="K35" s="350">
        <f>SUM(K11:K34)</f>
        <v>6276.4999999999991</v>
      </c>
      <c r="L35" s="350">
        <f t="shared" si="0"/>
        <v>852178.97200000007</v>
      </c>
      <c r="M35" s="28">
        <f>SUM(M11:M34)</f>
        <v>197305325</v>
      </c>
      <c r="N35" s="28">
        <f>SUM(N11:N34)</f>
        <v>14170293</v>
      </c>
      <c r="O35" s="28">
        <v>0</v>
      </c>
      <c r="P35" s="28">
        <f>SUM(P11:P34)</f>
        <v>1569125</v>
      </c>
      <c r="Q35" s="28">
        <f t="shared" si="1"/>
        <v>213044743</v>
      </c>
      <c r="T35" s="14">
        <f>SUM(T11:T34)</f>
        <v>6144</v>
      </c>
      <c r="U35" s="383">
        <f>T35/24</f>
        <v>256</v>
      </c>
    </row>
    <row r="36" spans="1:22" x14ac:dyDescent="0.2">
      <c r="A36" s="6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22" x14ac:dyDescent="0.2">
      <c r="A37" s="10" t="s">
        <v>7</v>
      </c>
      <c r="B37"/>
      <c r="C37"/>
      <c r="D37"/>
    </row>
    <row r="38" spans="1:22" x14ac:dyDescent="0.2">
      <c r="A38" t="s">
        <v>8</v>
      </c>
      <c r="B38"/>
      <c r="C38"/>
      <c r="D38"/>
    </row>
    <row r="39" spans="1:22" x14ac:dyDescent="0.2">
      <c r="A39" t="s">
        <v>9</v>
      </c>
      <c r="B39"/>
      <c r="C39"/>
      <c r="D39"/>
      <c r="I39" s="11"/>
      <c r="J39" s="11"/>
      <c r="K39" s="11"/>
      <c r="L39" s="11"/>
    </row>
    <row r="40" spans="1:22" customFormat="1" x14ac:dyDescent="0.2">
      <c r="A40" s="15" t="s">
        <v>422</v>
      </c>
      <c r="J40" s="11"/>
      <c r="K40" s="11"/>
      <c r="L40" s="11"/>
    </row>
    <row r="41" spans="1:22" customFormat="1" x14ac:dyDescent="0.2">
      <c r="C41" s="15" t="s">
        <v>424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22" customFormat="1" x14ac:dyDescent="0.2">
      <c r="C42" s="15"/>
      <c r="E42" s="12"/>
      <c r="F42" s="12"/>
      <c r="G42" s="12"/>
      <c r="H42" s="12"/>
      <c r="I42" s="12"/>
      <c r="J42" s="12"/>
      <c r="K42" s="12"/>
      <c r="L42" s="12"/>
      <c r="M42" s="12"/>
    </row>
    <row r="43" spans="1:22" customFormat="1" x14ac:dyDescent="0.2">
      <c r="C43" s="15"/>
      <c r="E43" s="12"/>
      <c r="F43" s="12"/>
      <c r="G43" s="12"/>
      <c r="H43" s="12"/>
      <c r="I43" s="12"/>
      <c r="J43" s="12"/>
      <c r="K43" s="12"/>
      <c r="L43" s="12"/>
      <c r="M43" s="12"/>
    </row>
    <row r="44" spans="1:22" customFormat="1" x14ac:dyDescent="0.2">
      <c r="C44" s="15"/>
      <c r="E44" s="12"/>
      <c r="F44" s="12"/>
      <c r="G44" s="12"/>
      <c r="H44" s="12"/>
      <c r="I44" s="12"/>
      <c r="J44" s="12"/>
      <c r="K44" s="12"/>
      <c r="L44" s="12"/>
      <c r="M44" s="12"/>
    </row>
    <row r="45" spans="1:22" x14ac:dyDescent="0.2">
      <c r="A45" s="670" t="s">
        <v>11</v>
      </c>
      <c r="B45" s="670"/>
      <c r="C45" s="670"/>
      <c r="D45" s="670"/>
      <c r="E45" s="670"/>
      <c r="F45" s="670"/>
      <c r="G45" s="670"/>
      <c r="H45" s="669"/>
      <c r="I45" s="670"/>
      <c r="J45" s="669"/>
      <c r="K45" s="669"/>
      <c r="L45" s="669"/>
      <c r="M45" s="669"/>
      <c r="N45" s="669"/>
      <c r="O45" s="758" t="s">
        <v>1107</v>
      </c>
      <c r="P45" s="758"/>
      <c r="Q45" s="759"/>
      <c r="R45" s="669"/>
      <c r="S45" s="669"/>
    </row>
    <row r="46" spans="1:22" x14ac:dyDescent="0.2">
      <c r="A46" s="758" t="s">
        <v>1108</v>
      </c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669"/>
      <c r="S46" s="669"/>
    </row>
    <row r="47" spans="1:22" ht="12.75" customHeight="1" x14ac:dyDescent="0.2">
      <c r="A47" s="757" t="s">
        <v>1109</v>
      </c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</row>
    <row r="48" spans="1:22" x14ac:dyDescent="0.2">
      <c r="A48" s="670"/>
      <c r="B48" s="670"/>
      <c r="C48" s="670"/>
      <c r="D48" s="670"/>
      <c r="E48" s="670"/>
      <c r="F48" s="670"/>
      <c r="G48" s="669"/>
      <c r="H48" s="669"/>
      <c r="I48" s="669"/>
      <c r="J48" s="669"/>
      <c r="K48" s="669"/>
      <c r="L48" s="669"/>
      <c r="M48" s="669"/>
      <c r="N48" s="756" t="s">
        <v>1110</v>
      </c>
      <c r="O48" s="756"/>
      <c r="P48" s="756"/>
      <c r="Q48" s="756"/>
      <c r="R48" s="669"/>
      <c r="S48" s="669"/>
    </row>
    <row r="49" spans="1:17" x14ac:dyDescent="0.2">
      <c r="A49"/>
      <c r="B49" s="567"/>
      <c r="C49" s="567"/>
      <c r="D49"/>
      <c r="E49"/>
      <c r="F49"/>
      <c r="G49" s="448"/>
      <c r="H49" s="566"/>
      <c r="I49" s="566"/>
      <c r="J49"/>
      <c r="K49" s="33"/>
      <c r="L49" s="567"/>
      <c r="M49" s="567"/>
      <c r="N49" s="567"/>
      <c r="O49" s="33"/>
      <c r="P49" s="33"/>
      <c r="Q49" s="33"/>
    </row>
    <row r="50" spans="1:17" x14ac:dyDescent="0.2">
      <c r="A50" s="570"/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</row>
  </sheetData>
  <mergeCells count="15">
    <mergeCell ref="N7:R7"/>
    <mergeCell ref="C8:G8"/>
    <mergeCell ref="H8:L8"/>
    <mergeCell ref="A35:B35"/>
    <mergeCell ref="A46:Q46"/>
    <mergeCell ref="N48:Q48"/>
    <mergeCell ref="O45:Q45"/>
    <mergeCell ref="A47:S47"/>
    <mergeCell ref="O1:Q1"/>
    <mergeCell ref="A2:L2"/>
    <mergeCell ref="A3:L3"/>
    <mergeCell ref="A5:L5"/>
    <mergeCell ref="M8:Q8"/>
    <mergeCell ref="A8:A9"/>
    <mergeCell ref="B8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topLeftCell="A13" zoomScale="85" zoomScaleNormal="100" zoomScaleSheetLayoutView="85" workbookViewId="0">
      <selection activeCell="N42" sqref="N42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867" t="s">
        <v>0</v>
      </c>
      <c r="B1" s="867"/>
      <c r="C1" s="867"/>
      <c r="D1" s="867"/>
      <c r="E1" s="867"/>
      <c r="G1" s="178" t="s">
        <v>630</v>
      </c>
    </row>
    <row r="2" spans="1:7" ht="21" x14ac:dyDescent="0.35">
      <c r="A2" s="868" t="s">
        <v>694</v>
      </c>
      <c r="B2" s="868"/>
      <c r="C2" s="868"/>
      <c r="D2" s="868"/>
      <c r="E2" s="868"/>
      <c r="F2" s="868"/>
    </row>
    <row r="3" spans="1:7" ht="15" x14ac:dyDescent="0.3">
      <c r="A3" s="180"/>
      <c r="B3" s="180"/>
    </row>
    <row r="4" spans="1:7" ht="18" customHeight="1" x14ac:dyDescent="0.35">
      <c r="A4" s="869" t="s">
        <v>631</v>
      </c>
      <c r="B4" s="869"/>
      <c r="C4" s="869"/>
      <c r="D4" s="869"/>
      <c r="E4" s="869"/>
      <c r="F4" s="869"/>
    </row>
    <row r="5" spans="1:7" ht="15" x14ac:dyDescent="0.3">
      <c r="A5" s="33" t="s">
        <v>1098</v>
      </c>
      <c r="B5" s="181"/>
    </row>
    <row r="6" spans="1:7" ht="15" x14ac:dyDescent="0.3">
      <c r="A6" s="181"/>
      <c r="B6" s="181"/>
      <c r="F6" s="870" t="s">
        <v>772</v>
      </c>
      <c r="G6" s="870"/>
    </row>
    <row r="7" spans="1:7" ht="42" customHeight="1" x14ac:dyDescent="0.2">
      <c r="A7" s="658" t="s">
        <v>1</v>
      </c>
      <c r="B7" s="658" t="s">
        <v>2</v>
      </c>
      <c r="C7" s="249" t="s">
        <v>632</v>
      </c>
      <c r="D7" s="249" t="s">
        <v>633</v>
      </c>
      <c r="E7" s="249" t="s">
        <v>634</v>
      </c>
      <c r="F7" s="249" t="s">
        <v>635</v>
      </c>
      <c r="G7" s="249" t="s">
        <v>636</v>
      </c>
    </row>
    <row r="8" spans="1:7" s="178" customFormat="1" ht="15" x14ac:dyDescent="0.25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183" t="s">
        <v>259</v>
      </c>
    </row>
    <row r="9" spans="1:7" s="178" customFormat="1" ht="15" x14ac:dyDescent="0.25">
      <c r="A9" s="8">
        <v>1</v>
      </c>
      <c r="B9" s="184" t="s">
        <v>875</v>
      </c>
      <c r="C9" s="215">
        <f>'enrolment vs availed_PY'!G11+'enrolment vs availed_UPY'!G11</f>
        <v>251822</v>
      </c>
      <c r="D9" s="377">
        <v>241750</v>
      </c>
      <c r="E9" s="377">
        <v>8463</v>
      </c>
      <c r="F9" s="377">
        <v>1609</v>
      </c>
      <c r="G9" s="377">
        <v>0</v>
      </c>
    </row>
    <row r="10" spans="1:7" s="178" customFormat="1" ht="15" x14ac:dyDescent="0.25">
      <c r="A10" s="8">
        <v>2</v>
      </c>
      <c r="B10" s="184" t="s">
        <v>876</v>
      </c>
      <c r="C10" s="215">
        <f>'enrolment vs availed_PY'!G12+'enrolment vs availed_UPY'!G12</f>
        <v>81399</v>
      </c>
      <c r="D10" s="377">
        <v>79758</v>
      </c>
      <c r="E10" s="377">
        <v>6162</v>
      </c>
      <c r="F10" s="377">
        <v>2959</v>
      </c>
      <c r="G10" s="377">
        <v>962</v>
      </c>
    </row>
    <row r="11" spans="1:7" s="178" customFormat="1" ht="15" x14ac:dyDescent="0.25">
      <c r="A11" s="8">
        <v>3</v>
      </c>
      <c r="B11" s="184" t="s">
        <v>877</v>
      </c>
      <c r="C11" s="215">
        <f>'enrolment vs availed_PY'!G13+'enrolment vs availed_UPY'!G13</f>
        <v>69706</v>
      </c>
      <c r="D11" s="377">
        <v>67612</v>
      </c>
      <c r="E11" s="377">
        <v>1389</v>
      </c>
      <c r="F11" s="377">
        <v>705</v>
      </c>
      <c r="G11" s="377">
        <v>0</v>
      </c>
    </row>
    <row r="12" spans="1:7" s="178" customFormat="1" ht="15" x14ac:dyDescent="0.25">
      <c r="A12" s="8">
        <v>4</v>
      </c>
      <c r="B12" s="184" t="s">
        <v>878</v>
      </c>
      <c r="C12" s="215">
        <f>'enrolment vs availed_PY'!G14+'enrolment vs availed_UPY'!G14</f>
        <v>161249</v>
      </c>
      <c r="D12" s="377">
        <v>146265</v>
      </c>
      <c r="E12" s="377">
        <f>C12-D12</f>
        <v>14984</v>
      </c>
      <c r="F12" s="377">
        <v>0</v>
      </c>
      <c r="G12" s="377">
        <v>0</v>
      </c>
    </row>
    <row r="13" spans="1:7" s="178" customFormat="1" ht="15" x14ac:dyDescent="0.25">
      <c r="A13" s="8">
        <v>5</v>
      </c>
      <c r="B13" s="184" t="s">
        <v>879</v>
      </c>
      <c r="C13" s="215">
        <f>'enrolment vs availed_PY'!G15+'enrolment vs availed_UPY'!G15</f>
        <v>96375</v>
      </c>
      <c r="D13" s="377">
        <v>96349</v>
      </c>
      <c r="E13" s="377">
        <v>26</v>
      </c>
      <c r="F13" s="377">
        <v>0</v>
      </c>
      <c r="G13" s="377">
        <v>0</v>
      </c>
    </row>
    <row r="14" spans="1:7" s="178" customFormat="1" ht="15" x14ac:dyDescent="0.25">
      <c r="A14" s="8">
        <v>6</v>
      </c>
      <c r="B14" s="184" t="s">
        <v>880</v>
      </c>
      <c r="C14" s="215">
        <f>'enrolment vs availed_PY'!G16+'enrolment vs availed_UPY'!G16</f>
        <v>179592</v>
      </c>
      <c r="D14" s="377">
        <v>158353</v>
      </c>
      <c r="E14" s="377">
        <v>2043</v>
      </c>
      <c r="F14" s="377">
        <v>10834</v>
      </c>
      <c r="G14" s="377">
        <v>0</v>
      </c>
    </row>
    <row r="15" spans="1:7" s="178" customFormat="1" ht="15" x14ac:dyDescent="0.25">
      <c r="A15" s="8">
        <v>7</v>
      </c>
      <c r="B15" s="184" t="s">
        <v>881</v>
      </c>
      <c r="C15" s="215">
        <f>'enrolment vs availed_PY'!G17+'enrolment vs availed_UPY'!G17</f>
        <v>124611</v>
      </c>
      <c r="D15" s="377">
        <v>121119</v>
      </c>
      <c r="E15" s="377">
        <v>1903</v>
      </c>
      <c r="F15" s="377">
        <v>3857</v>
      </c>
      <c r="G15" s="377">
        <v>0</v>
      </c>
    </row>
    <row r="16" spans="1:7" s="178" customFormat="1" ht="15" x14ac:dyDescent="0.25">
      <c r="A16" s="8">
        <v>8</v>
      </c>
      <c r="B16" s="184" t="s">
        <v>882</v>
      </c>
      <c r="C16" s="215">
        <f>'enrolment vs availed_PY'!G18+'enrolment vs availed_UPY'!G18</f>
        <v>262138</v>
      </c>
      <c r="D16" s="377">
        <v>221734</v>
      </c>
      <c r="E16" s="377">
        <v>21032</v>
      </c>
      <c r="F16" s="377">
        <v>11725</v>
      </c>
      <c r="G16" s="377">
        <v>30</v>
      </c>
    </row>
    <row r="17" spans="1:7" s="178" customFormat="1" ht="15" x14ac:dyDescent="0.25">
      <c r="A17" s="8">
        <v>9</v>
      </c>
      <c r="B17" s="184" t="s">
        <v>883</v>
      </c>
      <c r="C17" s="215">
        <f>'enrolment vs availed_PY'!G19+'enrolment vs availed_UPY'!G19</f>
        <v>359023</v>
      </c>
      <c r="D17" s="377">
        <v>328592</v>
      </c>
      <c r="E17" s="377">
        <v>10833</v>
      </c>
      <c r="F17" s="377">
        <v>7222</v>
      </c>
      <c r="G17" s="377">
        <v>14443</v>
      </c>
    </row>
    <row r="18" spans="1:7" s="178" customFormat="1" ht="15" x14ac:dyDescent="0.25">
      <c r="A18" s="8">
        <v>10</v>
      </c>
      <c r="B18" s="184" t="s">
        <v>884</v>
      </c>
      <c r="C18" s="215">
        <f>'enrolment vs availed_PY'!G20+'enrolment vs availed_UPY'!G20</f>
        <v>137275</v>
      </c>
      <c r="D18" s="377">
        <v>129673</v>
      </c>
      <c r="E18" s="377">
        <v>8277</v>
      </c>
      <c r="F18" s="377">
        <v>636</v>
      </c>
      <c r="G18" s="377">
        <v>0</v>
      </c>
    </row>
    <row r="19" spans="1:7" s="178" customFormat="1" ht="15" x14ac:dyDescent="0.25">
      <c r="A19" s="8">
        <v>11</v>
      </c>
      <c r="B19" s="184" t="s">
        <v>885</v>
      </c>
      <c r="C19" s="215">
        <f>'enrolment vs availed_PY'!G21+'enrolment vs availed_UPY'!G21</f>
        <v>226048</v>
      </c>
      <c r="D19" s="377">
        <v>162754</v>
      </c>
      <c r="E19" s="377">
        <v>41140</v>
      </c>
      <c r="F19" s="377">
        <v>22154</v>
      </c>
      <c r="G19" s="377">
        <v>0</v>
      </c>
    </row>
    <row r="20" spans="1:7" s="178" customFormat="1" ht="15" x14ac:dyDescent="0.25">
      <c r="A20" s="8">
        <v>12</v>
      </c>
      <c r="B20" s="241" t="s">
        <v>886</v>
      </c>
      <c r="C20" s="215">
        <f>'enrolment vs availed_PY'!G22+'enrolment vs availed_UPY'!G22</f>
        <v>193678</v>
      </c>
      <c r="D20" s="377">
        <v>176656</v>
      </c>
      <c r="E20" s="377">
        <v>15360</v>
      </c>
      <c r="F20" s="377">
        <v>0</v>
      </c>
      <c r="G20" s="377">
        <v>0</v>
      </c>
    </row>
    <row r="21" spans="1:7" s="178" customFormat="1" ht="15" x14ac:dyDescent="0.25">
      <c r="A21" s="8">
        <v>13</v>
      </c>
      <c r="B21" s="184" t="s">
        <v>887</v>
      </c>
      <c r="C21" s="215">
        <f>'enrolment vs availed_PY'!G23+'enrolment vs availed_UPY'!G23</f>
        <v>81152</v>
      </c>
      <c r="D21" s="377">
        <v>79282</v>
      </c>
      <c r="E21" s="377">
        <v>452</v>
      </c>
      <c r="F21" s="377">
        <v>0</v>
      </c>
      <c r="G21" s="377">
        <v>0</v>
      </c>
    </row>
    <row r="22" spans="1:7" s="178" customFormat="1" ht="15" x14ac:dyDescent="0.25">
      <c r="A22" s="8">
        <v>14</v>
      </c>
      <c r="B22" s="184" t="s">
        <v>888</v>
      </c>
      <c r="C22" s="215">
        <f>'enrolment vs availed_PY'!G24+'enrolment vs availed_UPY'!G24</f>
        <v>94727</v>
      </c>
      <c r="D22" s="377">
        <v>91851</v>
      </c>
      <c r="E22" s="377">
        <v>1257</v>
      </c>
      <c r="F22" s="377">
        <v>1619</v>
      </c>
      <c r="G22" s="377">
        <v>0</v>
      </c>
    </row>
    <row r="23" spans="1:7" s="178" customFormat="1" ht="15" x14ac:dyDescent="0.25">
      <c r="A23" s="8">
        <v>15</v>
      </c>
      <c r="B23" s="184" t="s">
        <v>889</v>
      </c>
      <c r="C23" s="215">
        <f>'enrolment vs availed_PY'!G25+'enrolment vs availed_UPY'!G25</f>
        <v>185854</v>
      </c>
      <c r="D23" s="377">
        <v>119504</v>
      </c>
      <c r="E23" s="377">
        <v>36242</v>
      </c>
      <c r="F23" s="377">
        <v>24430</v>
      </c>
      <c r="G23" s="377">
        <v>5678</v>
      </c>
    </row>
    <row r="24" spans="1:7" s="178" customFormat="1" ht="15" x14ac:dyDescent="0.25">
      <c r="A24" s="8">
        <v>16</v>
      </c>
      <c r="B24" s="184" t="s">
        <v>890</v>
      </c>
      <c r="C24" s="215">
        <f>'enrolment vs availed_PY'!G26+'enrolment vs availed_UPY'!G26</f>
        <v>383115</v>
      </c>
      <c r="D24" s="377">
        <v>322982</v>
      </c>
      <c r="E24" s="377">
        <v>17636</v>
      </c>
      <c r="F24" s="377">
        <v>22513</v>
      </c>
      <c r="G24" s="377">
        <v>100</v>
      </c>
    </row>
    <row r="25" spans="1:7" s="178" customFormat="1" ht="15" x14ac:dyDescent="0.25">
      <c r="A25" s="8">
        <v>17</v>
      </c>
      <c r="B25" s="184" t="s">
        <v>891</v>
      </c>
      <c r="C25" s="215">
        <f>'enrolment vs availed_PY'!G27+'enrolment vs availed_UPY'!G27</f>
        <v>226346</v>
      </c>
      <c r="D25" s="377">
        <v>216226</v>
      </c>
      <c r="E25" s="377">
        <v>8032</v>
      </c>
      <c r="F25" s="377">
        <v>2088</v>
      </c>
      <c r="G25" s="377">
        <v>0</v>
      </c>
    </row>
    <row r="26" spans="1:7" s="178" customFormat="1" ht="15" x14ac:dyDescent="0.25">
      <c r="A26" s="8">
        <v>18</v>
      </c>
      <c r="B26" s="184" t="s">
        <v>892</v>
      </c>
      <c r="C26" s="215">
        <f>'enrolment vs availed_PY'!G28+'enrolment vs availed_UPY'!G28</f>
        <v>180330</v>
      </c>
      <c r="D26" s="377">
        <v>162848</v>
      </c>
      <c r="E26" s="377">
        <v>4980</v>
      </c>
      <c r="F26" s="377">
        <v>12329</v>
      </c>
      <c r="G26" s="377">
        <v>0</v>
      </c>
    </row>
    <row r="27" spans="1:7" s="178" customFormat="1" ht="15" x14ac:dyDescent="0.25">
      <c r="A27" s="8">
        <v>19</v>
      </c>
      <c r="B27" s="184" t="s">
        <v>893</v>
      </c>
      <c r="C27" s="215">
        <f>'enrolment vs availed_PY'!G29+'enrolment vs availed_UPY'!G29</f>
        <v>200691</v>
      </c>
      <c r="D27" s="377">
        <v>179895</v>
      </c>
      <c r="E27" s="377">
        <v>17630</v>
      </c>
      <c r="F27" s="377">
        <v>4605</v>
      </c>
      <c r="G27" s="377">
        <v>6781</v>
      </c>
    </row>
    <row r="28" spans="1:7" s="178" customFormat="1" ht="15" x14ac:dyDescent="0.25">
      <c r="A28" s="8">
        <v>20</v>
      </c>
      <c r="B28" s="184" t="s">
        <v>894</v>
      </c>
      <c r="C28" s="215">
        <f>'enrolment vs availed_PY'!G30+'enrolment vs availed_UPY'!G30</f>
        <v>114678</v>
      </c>
      <c r="D28" s="377">
        <v>104115</v>
      </c>
      <c r="E28" s="377">
        <v>10503</v>
      </c>
      <c r="F28" s="377">
        <v>0</v>
      </c>
      <c r="G28" s="377">
        <v>0</v>
      </c>
    </row>
    <row r="29" spans="1:7" s="178" customFormat="1" ht="15" x14ac:dyDescent="0.25">
      <c r="A29" s="8">
        <v>21</v>
      </c>
      <c r="B29" s="184" t="s">
        <v>895</v>
      </c>
      <c r="C29" s="215">
        <f>'enrolment vs availed_PY'!G31+'enrolment vs availed_UPY'!G31</f>
        <v>195094</v>
      </c>
      <c r="D29" s="377">
        <v>191982</v>
      </c>
      <c r="E29" s="377">
        <v>2331</v>
      </c>
      <c r="F29" s="377">
        <v>2058</v>
      </c>
      <c r="G29" s="377">
        <v>6588</v>
      </c>
    </row>
    <row r="30" spans="1:7" s="178" customFormat="1" ht="15" x14ac:dyDescent="0.25">
      <c r="A30" s="8">
        <v>22</v>
      </c>
      <c r="B30" s="184" t="s">
        <v>896</v>
      </c>
      <c r="C30" s="215">
        <f>'enrolment vs availed_PY'!G32+'enrolment vs availed_UPY'!G32</f>
        <v>143632</v>
      </c>
      <c r="D30" s="377">
        <v>143632</v>
      </c>
      <c r="E30" s="377">
        <v>0</v>
      </c>
      <c r="F30" s="377">
        <v>0</v>
      </c>
      <c r="G30" s="377">
        <v>0</v>
      </c>
    </row>
    <row r="31" spans="1:7" s="178" customFormat="1" ht="15" x14ac:dyDescent="0.25">
      <c r="A31" s="8">
        <v>23</v>
      </c>
      <c r="B31" s="184" t="s">
        <v>897</v>
      </c>
      <c r="C31" s="215">
        <f>'enrolment vs availed_PY'!G33+'enrolment vs availed_UPY'!G33</f>
        <v>205969</v>
      </c>
      <c r="D31" s="377">
        <v>198092</v>
      </c>
      <c r="E31" s="377">
        <v>4432</v>
      </c>
      <c r="F31" s="377">
        <v>3821</v>
      </c>
      <c r="G31" s="377">
        <v>2103</v>
      </c>
    </row>
    <row r="32" spans="1:7" s="178" customFormat="1" ht="15" x14ac:dyDescent="0.25">
      <c r="A32" s="8">
        <v>24</v>
      </c>
      <c r="B32" s="184" t="s">
        <v>898</v>
      </c>
      <c r="C32" s="215">
        <f>'enrolment vs availed_PY'!G34+'enrolment vs availed_UPY'!G34</f>
        <v>248293</v>
      </c>
      <c r="D32" s="377">
        <v>260246</v>
      </c>
      <c r="E32" s="377">
        <v>5953</v>
      </c>
      <c r="F32" s="377">
        <v>14528</v>
      </c>
      <c r="G32" s="377">
        <v>0</v>
      </c>
    </row>
    <row r="33" spans="1:13" s="1" customFormat="1" x14ac:dyDescent="0.2">
      <c r="A33" s="725" t="s">
        <v>15</v>
      </c>
      <c r="B33" s="725"/>
      <c r="C33" s="289">
        <f>SUM(C9:C32)</f>
        <v>4402797</v>
      </c>
      <c r="D33" s="289">
        <f>SUM(D9:D32)</f>
        <v>4001270</v>
      </c>
      <c r="E33" s="289">
        <f>SUM(E9:E32)</f>
        <v>241060</v>
      </c>
      <c r="F33" s="289">
        <f>SUM(F9:F32)</f>
        <v>149692</v>
      </c>
      <c r="G33" s="3">
        <f>SUM(G9:G32)</f>
        <v>36685</v>
      </c>
    </row>
    <row r="37" spans="1:13" ht="15" customHeight="1" x14ac:dyDescent="0.2">
      <c r="A37" s="265"/>
      <c r="B37" s="265"/>
      <c r="C37" s="265"/>
      <c r="D37" s="265"/>
      <c r="E37" s="884" t="s">
        <v>1107</v>
      </c>
      <c r="F37" s="884"/>
      <c r="G37" s="266"/>
      <c r="H37" s="266"/>
      <c r="I37" s="266"/>
    </row>
    <row r="38" spans="1:13" ht="15" customHeight="1" x14ac:dyDescent="0.2">
      <c r="A38" s="265"/>
      <c r="B38" s="265"/>
      <c r="C38" s="265"/>
      <c r="D38" s="265"/>
      <c r="E38" s="884" t="s">
        <v>1108</v>
      </c>
      <c r="F38" s="884"/>
      <c r="G38" s="266"/>
      <c r="H38" s="567"/>
      <c r="I38" s="266"/>
    </row>
    <row r="39" spans="1:13" ht="15" customHeight="1" x14ac:dyDescent="0.2">
      <c r="A39" s="265"/>
      <c r="B39" s="265"/>
      <c r="C39" s="265"/>
      <c r="D39" s="265"/>
      <c r="E39" s="884" t="s">
        <v>1113</v>
      </c>
      <c r="F39" s="884"/>
      <c r="G39" s="266"/>
      <c r="H39" s="567"/>
      <c r="I39" s="266"/>
    </row>
    <row r="40" spans="1:13" x14ac:dyDescent="0.2">
      <c r="A40" s="265" t="s">
        <v>11</v>
      </c>
      <c r="B40" s="669"/>
      <c r="C40" s="265"/>
      <c r="D40" s="265"/>
      <c r="E40" s="265"/>
      <c r="F40" s="675" t="s">
        <v>1110</v>
      </c>
      <c r="G40" s="676"/>
      <c r="H40" s="567"/>
      <c r="I40" s="265"/>
    </row>
    <row r="41" spans="1:13" x14ac:dyDescent="0.2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</sheetData>
  <mergeCells count="8">
    <mergeCell ref="E39:F39"/>
    <mergeCell ref="E38:F38"/>
    <mergeCell ref="A1:E1"/>
    <mergeCell ref="A2:F2"/>
    <mergeCell ref="A4:F4"/>
    <mergeCell ref="F6:G6"/>
    <mergeCell ref="A33:B33"/>
    <mergeCell ref="E37:F37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view="pageBreakPreview" topLeftCell="A21" zoomScale="90" zoomScaleNormal="100" zoomScaleSheetLayoutView="90" workbookViewId="0">
      <selection activeCell="J42" sqref="J42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2.140625" style="15" customWidth="1"/>
    <col min="4" max="4" width="12.42578125" style="15" customWidth="1"/>
    <col min="5" max="5" width="13.140625" style="15" customWidth="1"/>
    <col min="6" max="6" width="15.140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8" customFormat="1" x14ac:dyDescent="0.2">
      <c r="E1" s="792"/>
      <c r="F1" s="792"/>
      <c r="G1" s="792"/>
      <c r="H1" s="792"/>
      <c r="I1" s="792"/>
      <c r="J1" s="133" t="s">
        <v>58</v>
      </c>
    </row>
    <row r="2" spans="1:18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8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</row>
    <row r="4" spans="1:18" customFormat="1" ht="14.25" customHeight="1" x14ac:dyDescent="0.2"/>
    <row r="5" spans="1:18" ht="31.5" customHeight="1" x14ac:dyDescent="0.25">
      <c r="A5" s="880" t="s">
        <v>739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8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8" x14ac:dyDescent="0.2">
      <c r="A8" s="33" t="s">
        <v>1098</v>
      </c>
      <c r="B8" s="598"/>
      <c r="C8" s="30"/>
      <c r="H8" s="870" t="s">
        <v>770</v>
      </c>
      <c r="I8" s="870"/>
      <c r="J8" s="870"/>
      <c r="K8" s="94"/>
      <c r="L8" s="94"/>
    </row>
    <row r="9" spans="1:18" x14ac:dyDescent="0.2">
      <c r="A9" s="775" t="s">
        <v>1</v>
      </c>
      <c r="B9" s="775" t="s">
        <v>2</v>
      </c>
      <c r="C9" s="733" t="s">
        <v>740</v>
      </c>
      <c r="D9" s="734"/>
      <c r="E9" s="734"/>
      <c r="F9" s="735"/>
      <c r="G9" s="733" t="s">
        <v>98</v>
      </c>
      <c r="H9" s="734"/>
      <c r="I9" s="734"/>
      <c r="J9" s="735"/>
      <c r="Q9" s="18"/>
      <c r="R9" s="20"/>
    </row>
    <row r="10" spans="1:18" ht="64.5" customHeight="1" x14ac:dyDescent="0.2">
      <c r="A10" s="775"/>
      <c r="B10" s="775"/>
      <c r="C10" s="5" t="s">
        <v>176</v>
      </c>
      <c r="D10" s="5" t="s">
        <v>13</v>
      </c>
      <c r="E10" s="7" t="s">
        <v>771</v>
      </c>
      <c r="F10" s="7" t="s">
        <v>193</v>
      </c>
      <c r="G10" s="5" t="s">
        <v>176</v>
      </c>
      <c r="H10" s="24" t="s">
        <v>14</v>
      </c>
      <c r="I10" s="98" t="s">
        <v>857</v>
      </c>
      <c r="J10" s="5" t="s">
        <v>858</v>
      </c>
    </row>
    <row r="11" spans="1:18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8" x14ac:dyDescent="0.2">
      <c r="A12" s="17">
        <v>1</v>
      </c>
      <c r="B12" s="184" t="s">
        <v>875</v>
      </c>
      <c r="C12" s="348">
        <v>1547</v>
      </c>
      <c r="D12" s="18">
        <v>130168</v>
      </c>
      <c r="E12" s="18">
        <v>254</v>
      </c>
      <c r="F12" s="97">
        <f>D12*E12</f>
        <v>33062672</v>
      </c>
      <c r="G12" s="18">
        <f>'AT3A_cvrg(Insti)_PY'!L12</f>
        <v>1332</v>
      </c>
      <c r="H12" s="27">
        <f>'enrolment vs availed_PY'!M11+'enrolment vs availed_PY'!N11+'enrolment vs availed_PY'!P11</f>
        <v>29408709</v>
      </c>
      <c r="I12" s="27">
        <v>250</v>
      </c>
      <c r="J12" s="366">
        <f>H12/I12</f>
        <v>117634.836</v>
      </c>
      <c r="L12" s="15">
        <v>252</v>
      </c>
      <c r="N12" s="15">
        <f>D12+'T5A_PLAN_vs_PRFM '!D12+'T5B_PLAN_vs_PRFM  (2)'!D12</f>
        <v>189945</v>
      </c>
      <c r="O12" s="618">
        <f>J12+'T5A_PLAN_vs_PRFM '!J12+'T5B_PLAN_vs_PRFM  (2)'!J12</f>
        <v>172095.2661875</v>
      </c>
    </row>
    <row r="13" spans="1:18" x14ac:dyDescent="0.2">
      <c r="A13" s="17">
        <v>2</v>
      </c>
      <c r="B13" s="184" t="s">
        <v>876</v>
      </c>
      <c r="C13" s="348">
        <v>659</v>
      </c>
      <c r="D13" s="18">
        <v>50513</v>
      </c>
      <c r="E13" s="18">
        <v>254</v>
      </c>
      <c r="F13" s="97">
        <f t="shared" ref="F13:F35" si="0">D13*E13</f>
        <v>12830302</v>
      </c>
      <c r="G13" s="18">
        <f>'AT3A_cvrg(Insti)_PY'!L13</f>
        <v>549</v>
      </c>
      <c r="H13" s="27">
        <f>'enrolment vs availed_PY'!M12+'enrolment vs availed_PY'!N12+'enrolment vs availed_PY'!P12</f>
        <v>9903796</v>
      </c>
      <c r="I13" s="27">
        <v>250</v>
      </c>
      <c r="J13" s="366">
        <f t="shared" ref="J13:J35" si="1">H13/I13</f>
        <v>39615.184000000001</v>
      </c>
      <c r="L13" s="15">
        <v>248</v>
      </c>
      <c r="N13" s="15">
        <f>D13+'T5A_PLAN_vs_PRFM '!D13+'T5B_PLAN_vs_PRFM  (2)'!D13</f>
        <v>68759</v>
      </c>
      <c r="O13" s="618">
        <f>J13+'T5A_PLAN_vs_PRFM '!J13+'T5B_PLAN_vs_PRFM  (2)'!J13</f>
        <v>54619.612000000001</v>
      </c>
    </row>
    <row r="14" spans="1:18" x14ac:dyDescent="0.2">
      <c r="A14" s="17">
        <v>3</v>
      </c>
      <c r="B14" s="184" t="s">
        <v>877</v>
      </c>
      <c r="C14" s="348">
        <v>362</v>
      </c>
      <c r="D14" s="18">
        <v>36832</v>
      </c>
      <c r="E14" s="18">
        <v>254</v>
      </c>
      <c r="F14" s="97">
        <f t="shared" si="0"/>
        <v>9355328</v>
      </c>
      <c r="G14" s="18">
        <f>'AT3A_cvrg(Insti)_PY'!L14</f>
        <v>290</v>
      </c>
      <c r="H14" s="27">
        <f>'enrolment vs availed_PY'!M13+'enrolment vs availed_PY'!N13+'enrolment vs availed_PY'!P13</f>
        <v>7770538</v>
      </c>
      <c r="I14" s="27">
        <v>250</v>
      </c>
      <c r="J14" s="366">
        <f t="shared" si="1"/>
        <v>31082.151999999998</v>
      </c>
      <c r="L14" s="15">
        <v>249</v>
      </c>
      <c r="N14" s="15">
        <f>D14+'T5A_PLAN_vs_PRFM '!D14+'T5B_PLAN_vs_PRFM  (2)'!D14</f>
        <v>51806</v>
      </c>
      <c r="O14" s="618">
        <f>J14+'T5A_PLAN_vs_PRFM '!J14+'T5B_PLAN_vs_PRFM  (2)'!J14</f>
        <v>44836.58</v>
      </c>
    </row>
    <row r="15" spans="1:18" x14ac:dyDescent="0.2">
      <c r="A15" s="17">
        <v>4</v>
      </c>
      <c r="B15" s="184" t="s">
        <v>878</v>
      </c>
      <c r="C15" s="348">
        <v>1090</v>
      </c>
      <c r="D15" s="18">
        <v>102249</v>
      </c>
      <c r="E15" s="18">
        <v>254</v>
      </c>
      <c r="F15" s="97">
        <f t="shared" si="0"/>
        <v>25971246</v>
      </c>
      <c r="G15" s="18">
        <f>'AT3A_cvrg(Insti)_PY'!L15</f>
        <v>919</v>
      </c>
      <c r="H15" s="27">
        <f>'enrolment vs availed_PY'!M14+'enrolment vs availed_PY'!N14+'enrolment vs availed_PY'!P14</f>
        <v>22977519</v>
      </c>
      <c r="I15" s="27">
        <v>250</v>
      </c>
      <c r="J15" s="366">
        <f t="shared" si="1"/>
        <v>91910.076000000001</v>
      </c>
      <c r="L15" s="15">
        <v>254</v>
      </c>
      <c r="N15" s="15">
        <f>D15+'T5A_PLAN_vs_PRFM '!D15+'T5B_PLAN_vs_PRFM  (2)'!D15</f>
        <v>141244</v>
      </c>
      <c r="O15" s="618">
        <f>J15+'T5A_PLAN_vs_PRFM '!J15+'T5B_PLAN_vs_PRFM  (2)'!J15</f>
        <v>127156.212</v>
      </c>
    </row>
    <row r="16" spans="1:18" x14ac:dyDescent="0.2">
      <c r="A16" s="17">
        <v>5</v>
      </c>
      <c r="B16" s="184" t="s">
        <v>879</v>
      </c>
      <c r="C16" s="348">
        <v>661</v>
      </c>
      <c r="D16" s="18">
        <v>54201</v>
      </c>
      <c r="E16" s="18">
        <v>254</v>
      </c>
      <c r="F16" s="97">
        <f t="shared" si="0"/>
        <v>13767054</v>
      </c>
      <c r="G16" s="18">
        <f>'AT3A_cvrg(Insti)_PY'!L16</f>
        <v>586</v>
      </c>
      <c r="H16" s="27">
        <f>'enrolment vs availed_PY'!M15+'enrolment vs availed_PY'!N15+'enrolment vs availed_PY'!P15</f>
        <v>11937215</v>
      </c>
      <c r="I16" s="27">
        <v>250</v>
      </c>
      <c r="J16" s="366">
        <f t="shared" si="1"/>
        <v>47748.86</v>
      </c>
      <c r="L16" s="15">
        <v>246</v>
      </c>
      <c r="N16" s="15">
        <f>D16+'T5A_PLAN_vs_PRFM '!D16+'T5B_PLAN_vs_PRFM  (2)'!D16</f>
        <v>75414</v>
      </c>
      <c r="O16" s="618">
        <f>J16+'T5A_PLAN_vs_PRFM '!J16+'T5B_PLAN_vs_PRFM  (2)'!J16</f>
        <v>67550.815999999992</v>
      </c>
    </row>
    <row r="17" spans="1:15" x14ac:dyDescent="0.2">
      <c r="A17" s="17">
        <v>6</v>
      </c>
      <c r="B17" s="184" t="s">
        <v>880</v>
      </c>
      <c r="C17" s="348">
        <v>1271</v>
      </c>
      <c r="D17" s="18">
        <v>86047</v>
      </c>
      <c r="E17" s="18">
        <v>254</v>
      </c>
      <c r="F17" s="97">
        <f t="shared" si="0"/>
        <v>21855938</v>
      </c>
      <c r="G17" s="18">
        <f>'AT3A_cvrg(Insti)_PY'!L17</f>
        <v>966</v>
      </c>
      <c r="H17" s="27">
        <f>'enrolment vs availed_PY'!M16+'enrolment vs availed_PY'!N16+'enrolment vs availed_PY'!P16</f>
        <v>20434918</v>
      </c>
      <c r="I17" s="27">
        <v>250</v>
      </c>
      <c r="J17" s="366">
        <f t="shared" si="1"/>
        <v>81739.672000000006</v>
      </c>
      <c r="L17" s="15">
        <v>248</v>
      </c>
      <c r="N17" s="15">
        <f>D17+'T5A_PLAN_vs_PRFM '!D17+'T5B_PLAN_vs_PRFM  (2)'!D17</f>
        <v>128488</v>
      </c>
      <c r="O17" s="618">
        <f>J17+'T5A_PLAN_vs_PRFM '!J17+'T5B_PLAN_vs_PRFM  (2)'!J17</f>
        <v>124685.39200000001</v>
      </c>
    </row>
    <row r="18" spans="1:15" x14ac:dyDescent="0.2">
      <c r="A18" s="17">
        <v>7</v>
      </c>
      <c r="B18" s="184" t="s">
        <v>881</v>
      </c>
      <c r="C18" s="348">
        <v>1048</v>
      </c>
      <c r="D18" s="18">
        <v>63735</v>
      </c>
      <c r="E18" s="18">
        <v>254</v>
      </c>
      <c r="F18" s="97">
        <f t="shared" si="0"/>
        <v>16188690</v>
      </c>
      <c r="G18" s="18">
        <f>'AT3A_cvrg(Insti)_PY'!L18</f>
        <v>821</v>
      </c>
      <c r="H18" s="27">
        <f>'enrolment vs availed_PY'!M17+'enrolment vs availed_PY'!N17+'enrolment vs availed_PY'!P17</f>
        <v>13325257</v>
      </c>
      <c r="I18" s="27">
        <v>250</v>
      </c>
      <c r="J18" s="366">
        <f t="shared" si="1"/>
        <v>53301.027999999998</v>
      </c>
      <c r="L18" s="15">
        <v>249</v>
      </c>
      <c r="N18" s="15">
        <f>D18+'T5A_PLAN_vs_PRFM '!D18+'T5B_PLAN_vs_PRFM  (2)'!D18</f>
        <v>103811</v>
      </c>
      <c r="O18" s="618">
        <f>J18+'T5A_PLAN_vs_PRFM '!J18+'T5B_PLAN_vs_PRFM  (2)'!J18</f>
        <v>80665.440000000002</v>
      </c>
    </row>
    <row r="19" spans="1:15" x14ac:dyDescent="0.2">
      <c r="A19" s="17">
        <v>8</v>
      </c>
      <c r="B19" s="184" t="s">
        <v>882</v>
      </c>
      <c r="C19" s="348">
        <v>1516</v>
      </c>
      <c r="D19" s="18">
        <v>135093</v>
      </c>
      <c r="E19" s="18">
        <v>254</v>
      </c>
      <c r="F19" s="97">
        <f t="shared" si="0"/>
        <v>34313622</v>
      </c>
      <c r="G19" s="18">
        <f>'AT3A_cvrg(Insti)_PY'!L19</f>
        <v>1379</v>
      </c>
      <c r="H19" s="27">
        <f>'enrolment vs availed_PY'!M18+'enrolment vs availed_PY'!N18+'enrolment vs availed_PY'!P18</f>
        <v>28928162</v>
      </c>
      <c r="I19" s="27">
        <v>250</v>
      </c>
      <c r="J19" s="366">
        <f t="shared" si="1"/>
        <v>115712.648</v>
      </c>
      <c r="L19" s="15">
        <v>247</v>
      </c>
      <c r="N19" s="15">
        <f>D19+'T5A_PLAN_vs_PRFM '!D19+'T5B_PLAN_vs_PRFM  (2)'!D19</f>
        <v>186141</v>
      </c>
      <c r="O19" s="618">
        <f>J19+'T5A_PLAN_vs_PRFM '!J19+'T5B_PLAN_vs_PRFM  (2)'!J19</f>
        <v>163546.43087499999</v>
      </c>
    </row>
    <row r="20" spans="1:15" x14ac:dyDescent="0.2">
      <c r="A20" s="17">
        <v>9</v>
      </c>
      <c r="B20" s="184" t="s">
        <v>883</v>
      </c>
      <c r="C20" s="348">
        <v>1275</v>
      </c>
      <c r="D20" s="18">
        <v>187976</v>
      </c>
      <c r="E20" s="18">
        <v>254</v>
      </c>
      <c r="F20" s="97">
        <f t="shared" si="0"/>
        <v>47745904</v>
      </c>
      <c r="G20" s="18">
        <f>'AT3A_cvrg(Insti)_PY'!L20</f>
        <v>1203</v>
      </c>
      <c r="H20" s="27">
        <f>'enrolment vs availed_PY'!M19+'enrolment vs availed_PY'!N19+'enrolment vs availed_PY'!P19</f>
        <v>37735096</v>
      </c>
      <c r="I20" s="27">
        <v>250</v>
      </c>
      <c r="J20" s="366">
        <f t="shared" si="1"/>
        <v>150940.38399999999</v>
      </c>
      <c r="L20" s="15">
        <v>242</v>
      </c>
      <c r="N20" s="15">
        <f>D20+'T5A_PLAN_vs_PRFM '!D20+'T5B_PLAN_vs_PRFM  (2)'!D20</f>
        <v>272204</v>
      </c>
      <c r="O20" s="618">
        <f>J20+'T5A_PLAN_vs_PRFM '!J20+'T5B_PLAN_vs_PRFM  (2)'!J20</f>
        <v>223785.06</v>
      </c>
    </row>
    <row r="21" spans="1:15" x14ac:dyDescent="0.2">
      <c r="A21" s="17">
        <v>10</v>
      </c>
      <c r="B21" s="184" t="s">
        <v>884</v>
      </c>
      <c r="C21" s="348">
        <v>743</v>
      </c>
      <c r="D21" s="18">
        <v>66077</v>
      </c>
      <c r="E21" s="18">
        <v>254</v>
      </c>
      <c r="F21" s="97">
        <f t="shared" si="0"/>
        <v>16783558</v>
      </c>
      <c r="G21" s="18">
        <f>'AT3A_cvrg(Insti)_PY'!L21</f>
        <v>632</v>
      </c>
      <c r="H21" s="27">
        <f>'enrolment vs availed_PY'!M20+'enrolment vs availed_PY'!N20+'enrolment vs availed_PY'!P20</f>
        <v>13596994</v>
      </c>
      <c r="I21" s="27">
        <v>250</v>
      </c>
      <c r="J21" s="366">
        <f t="shared" si="1"/>
        <v>54387.976000000002</v>
      </c>
      <c r="L21" s="15">
        <v>244</v>
      </c>
      <c r="N21" s="15">
        <f>D21+'T5A_PLAN_vs_PRFM '!D21+'T5B_PLAN_vs_PRFM  (2)'!D21</f>
        <v>90364</v>
      </c>
      <c r="O21" s="618">
        <f>J21+'T5A_PLAN_vs_PRFM '!J21+'T5B_PLAN_vs_PRFM  (2)'!J21</f>
        <v>77575.8</v>
      </c>
    </row>
    <row r="22" spans="1:15" x14ac:dyDescent="0.2">
      <c r="A22" s="17">
        <v>11</v>
      </c>
      <c r="B22" s="184" t="s">
        <v>885</v>
      </c>
      <c r="C22" s="348">
        <v>1000</v>
      </c>
      <c r="D22" s="18">
        <v>110395</v>
      </c>
      <c r="E22" s="18">
        <v>254</v>
      </c>
      <c r="F22" s="97">
        <f t="shared" si="0"/>
        <v>28040330</v>
      </c>
      <c r="G22" s="18">
        <f>'AT3A_cvrg(Insti)_PY'!L22</f>
        <v>980</v>
      </c>
      <c r="H22" s="27">
        <f>'enrolment vs availed_PY'!M21+'enrolment vs availed_PY'!N21+'enrolment vs availed_PY'!P21</f>
        <v>21762231</v>
      </c>
      <c r="I22" s="27">
        <v>250</v>
      </c>
      <c r="J22" s="366">
        <f t="shared" si="1"/>
        <v>87048.923999999999</v>
      </c>
      <c r="L22" s="15">
        <v>253</v>
      </c>
      <c r="N22" s="15">
        <f>D22+'T5A_PLAN_vs_PRFM '!D22+'T5B_PLAN_vs_PRFM  (2)'!D22</f>
        <v>158988</v>
      </c>
      <c r="O22" s="618">
        <f>J22+'T5A_PLAN_vs_PRFM '!J22+'T5B_PLAN_vs_PRFM  (2)'!J22</f>
        <v>126595.1551875</v>
      </c>
    </row>
    <row r="23" spans="1:15" x14ac:dyDescent="0.2">
      <c r="A23" s="17">
        <v>12</v>
      </c>
      <c r="B23" s="241" t="s">
        <v>886</v>
      </c>
      <c r="C23" s="348">
        <v>995</v>
      </c>
      <c r="D23" s="18">
        <v>103236</v>
      </c>
      <c r="E23" s="18">
        <v>254</v>
      </c>
      <c r="F23" s="97">
        <f t="shared" si="0"/>
        <v>26221944</v>
      </c>
      <c r="G23" s="18">
        <f>'AT3A_cvrg(Insti)_PY'!L23</f>
        <v>899</v>
      </c>
      <c r="H23" s="27">
        <f>'enrolment vs availed_PY'!M22+'enrolment vs availed_PY'!N22+'enrolment vs availed_PY'!P22</f>
        <v>22040669</v>
      </c>
      <c r="I23" s="27">
        <v>250</v>
      </c>
      <c r="J23" s="366">
        <f t="shared" si="1"/>
        <v>88162.676000000007</v>
      </c>
      <c r="L23" s="15">
        <v>256</v>
      </c>
      <c r="N23" s="15">
        <f>D23+'T5A_PLAN_vs_PRFM '!D23+'T5B_PLAN_vs_PRFM  (2)'!D23</f>
        <v>152600</v>
      </c>
      <c r="O23" s="618">
        <f>J23+'T5A_PLAN_vs_PRFM '!J23+'T5B_PLAN_vs_PRFM  (2)'!J23</f>
        <v>131908.05721875001</v>
      </c>
    </row>
    <row r="24" spans="1:15" x14ac:dyDescent="0.2">
      <c r="A24" s="17">
        <v>13</v>
      </c>
      <c r="B24" s="184" t="s">
        <v>887</v>
      </c>
      <c r="C24" s="348">
        <v>443</v>
      </c>
      <c r="D24" s="18">
        <v>43451</v>
      </c>
      <c r="E24" s="18">
        <v>254</v>
      </c>
      <c r="F24" s="97">
        <f t="shared" si="0"/>
        <v>11036554</v>
      </c>
      <c r="G24" s="18">
        <f>'AT3A_cvrg(Insti)_PY'!L24</f>
        <v>347</v>
      </c>
      <c r="H24" s="27">
        <f>'enrolment vs availed_PY'!M23+'enrolment vs availed_PY'!N23+'enrolment vs availed_PY'!P23</f>
        <v>9368954</v>
      </c>
      <c r="I24" s="27">
        <v>250</v>
      </c>
      <c r="J24" s="366">
        <f t="shared" si="1"/>
        <v>37475.815999999999</v>
      </c>
      <c r="L24" s="15">
        <v>257</v>
      </c>
      <c r="N24" s="15">
        <f>D24+'T5A_PLAN_vs_PRFM '!D24+'T5B_PLAN_vs_PRFM  (2)'!D24</f>
        <v>66475</v>
      </c>
      <c r="O24" s="618">
        <f>J24+'T5A_PLAN_vs_PRFM '!J24+'T5B_PLAN_vs_PRFM  (2)'!J24</f>
        <v>58389.652000000002</v>
      </c>
    </row>
    <row r="25" spans="1:15" x14ac:dyDescent="0.2">
      <c r="A25" s="17">
        <v>14</v>
      </c>
      <c r="B25" s="184" t="s">
        <v>888</v>
      </c>
      <c r="C25" s="348">
        <v>406</v>
      </c>
      <c r="D25" s="18">
        <v>65240</v>
      </c>
      <c r="E25" s="18">
        <v>254</v>
      </c>
      <c r="F25" s="97">
        <f t="shared" si="0"/>
        <v>16570960</v>
      </c>
      <c r="G25" s="18">
        <f>'AT3A_cvrg(Insti)_PY'!L25</f>
        <v>363</v>
      </c>
      <c r="H25" s="27">
        <f>'enrolment vs availed_PY'!M24+'enrolment vs availed_PY'!N24+'enrolment vs availed_PY'!P24</f>
        <v>10137015</v>
      </c>
      <c r="I25" s="27">
        <v>250</v>
      </c>
      <c r="J25" s="366">
        <f t="shared" si="1"/>
        <v>40548.06</v>
      </c>
      <c r="L25" s="15">
        <v>238</v>
      </c>
      <c r="N25" s="15">
        <f>D25+'T5A_PLAN_vs_PRFM '!D25+'T5B_PLAN_vs_PRFM  (2)'!D25</f>
        <v>96414</v>
      </c>
      <c r="O25" s="618">
        <f>J25+'T5A_PLAN_vs_PRFM '!J25+'T5B_PLAN_vs_PRFM  (2)'!J25</f>
        <v>61464.103999999999</v>
      </c>
    </row>
    <row r="26" spans="1:15" x14ac:dyDescent="0.2">
      <c r="A26" s="17">
        <v>15</v>
      </c>
      <c r="B26" s="184" t="s">
        <v>889</v>
      </c>
      <c r="C26" s="348">
        <v>1083</v>
      </c>
      <c r="D26" s="18">
        <v>106633</v>
      </c>
      <c r="E26" s="18">
        <v>254</v>
      </c>
      <c r="F26" s="97">
        <f t="shared" si="0"/>
        <v>27084782</v>
      </c>
      <c r="G26" s="18">
        <f>'AT3A_cvrg(Insti)_PY'!L26</f>
        <v>895</v>
      </c>
      <c r="H26" s="27">
        <f>'enrolment vs availed_PY'!M25+'enrolment vs availed_PY'!N25+'enrolment vs availed_PY'!P25</f>
        <v>21828204</v>
      </c>
      <c r="I26" s="27">
        <v>250</v>
      </c>
      <c r="J26" s="366">
        <f t="shared" si="1"/>
        <v>87312.816000000006</v>
      </c>
      <c r="L26" s="15">
        <v>256</v>
      </c>
      <c r="N26" s="15">
        <f>D26+'T5A_PLAN_vs_PRFM '!D26+'T5B_PLAN_vs_PRFM  (2)'!D26</f>
        <v>153669</v>
      </c>
      <c r="O26" s="618">
        <f>J26+'T5A_PLAN_vs_PRFM '!J26+'T5B_PLAN_vs_PRFM  (2)'!J26</f>
        <v>133947.19200000001</v>
      </c>
    </row>
    <row r="27" spans="1:15" x14ac:dyDescent="0.2">
      <c r="A27" s="17">
        <v>16</v>
      </c>
      <c r="B27" s="184" t="s">
        <v>890</v>
      </c>
      <c r="C27" s="348">
        <v>2066</v>
      </c>
      <c r="D27" s="18">
        <v>174411</v>
      </c>
      <c r="E27" s="18">
        <v>254</v>
      </c>
      <c r="F27" s="97">
        <f t="shared" si="0"/>
        <v>44300394</v>
      </c>
      <c r="G27" s="18">
        <f>'AT3A_cvrg(Insti)_PY'!L27</f>
        <v>1888</v>
      </c>
      <c r="H27" s="27">
        <f>'enrolment vs availed_PY'!M26+'enrolment vs availed_PY'!N26+'enrolment vs availed_PY'!P26</f>
        <v>33338663</v>
      </c>
      <c r="I27" s="27">
        <v>250</v>
      </c>
      <c r="J27" s="366">
        <f t="shared" si="1"/>
        <v>133354.652</v>
      </c>
      <c r="L27" s="15">
        <v>254</v>
      </c>
      <c r="N27" s="15">
        <f>D27+'T5A_PLAN_vs_PRFM '!D27+'T5B_PLAN_vs_PRFM  (2)'!D27</f>
        <v>240902</v>
      </c>
      <c r="O27" s="618">
        <f>J27+'T5A_PLAN_vs_PRFM '!J27+'T5B_PLAN_vs_PRFM  (2)'!J27</f>
        <v>186565.5</v>
      </c>
    </row>
    <row r="28" spans="1:15" x14ac:dyDescent="0.2">
      <c r="A28" s="17">
        <v>17</v>
      </c>
      <c r="B28" s="241" t="s">
        <v>891</v>
      </c>
      <c r="C28" s="348">
        <v>1218</v>
      </c>
      <c r="D28" s="18">
        <v>119951</v>
      </c>
      <c r="E28" s="18">
        <v>254</v>
      </c>
      <c r="F28" s="97">
        <f t="shared" si="0"/>
        <v>30467554</v>
      </c>
      <c r="G28" s="18">
        <f>'AT3A_cvrg(Insti)_PY'!L28</f>
        <v>1091</v>
      </c>
      <c r="H28" s="27">
        <f>'enrolment vs availed_PY'!M27+'enrolment vs availed_PY'!N27+'enrolment vs availed_PY'!P27</f>
        <v>21795644</v>
      </c>
      <c r="I28" s="27">
        <v>250</v>
      </c>
      <c r="J28" s="366">
        <f t="shared" si="1"/>
        <v>87182.576000000001</v>
      </c>
      <c r="L28" s="15">
        <v>241</v>
      </c>
      <c r="N28" s="15">
        <f>D28+'T5A_PLAN_vs_PRFM '!D28+'T5B_PLAN_vs_PRFM  (2)'!D28</f>
        <v>170492</v>
      </c>
      <c r="O28" s="618">
        <f>J28+'T5A_PLAN_vs_PRFM '!J28+'T5B_PLAN_vs_PRFM  (2)'!J28</f>
        <v>135964.52799999999</v>
      </c>
    </row>
    <row r="29" spans="1:15" x14ac:dyDescent="0.2">
      <c r="A29" s="17">
        <v>18</v>
      </c>
      <c r="B29" s="184" t="s">
        <v>892</v>
      </c>
      <c r="C29" s="348">
        <v>1171</v>
      </c>
      <c r="D29" s="18">
        <v>91627</v>
      </c>
      <c r="E29" s="18">
        <v>254</v>
      </c>
      <c r="F29" s="97">
        <f t="shared" si="0"/>
        <v>23273258</v>
      </c>
      <c r="G29" s="18">
        <f>'AT3A_cvrg(Insti)_PY'!L29</f>
        <v>990</v>
      </c>
      <c r="H29" s="27">
        <f>'enrolment vs availed_PY'!M28+'enrolment vs availed_PY'!N28+'enrolment vs availed_PY'!P28</f>
        <v>18918301</v>
      </c>
      <c r="I29" s="27">
        <v>250</v>
      </c>
      <c r="J29" s="366">
        <f t="shared" si="1"/>
        <v>75673.203999999998</v>
      </c>
      <c r="L29" s="15">
        <v>253</v>
      </c>
      <c r="N29" s="15">
        <f>D29+'T5A_PLAN_vs_PRFM '!D29+'T5B_PLAN_vs_PRFM  (2)'!D29</f>
        <v>138714</v>
      </c>
      <c r="O29" s="618">
        <f>J29+'T5A_PLAN_vs_PRFM '!J29+'T5B_PLAN_vs_PRFM  (2)'!J29</f>
        <v>116582.508</v>
      </c>
    </row>
    <row r="30" spans="1:15" x14ac:dyDescent="0.2">
      <c r="A30" s="17">
        <v>19</v>
      </c>
      <c r="B30" s="184" t="s">
        <v>893</v>
      </c>
      <c r="C30" s="348">
        <v>1650</v>
      </c>
      <c r="D30" s="18">
        <v>94253</v>
      </c>
      <c r="E30" s="18">
        <v>254</v>
      </c>
      <c r="F30" s="97">
        <f t="shared" si="0"/>
        <v>23940262</v>
      </c>
      <c r="G30" s="18">
        <f>'AT3A_cvrg(Insti)_PY'!L30</f>
        <v>1504</v>
      </c>
      <c r="H30" s="27">
        <f>'enrolment vs availed_PY'!M29+'enrolment vs availed_PY'!N29+'enrolment vs availed_PY'!P29</f>
        <v>17465877</v>
      </c>
      <c r="I30" s="27">
        <v>250</v>
      </c>
      <c r="J30" s="366">
        <f t="shared" si="1"/>
        <v>69863.508000000002</v>
      </c>
      <c r="L30" s="15">
        <v>251</v>
      </c>
      <c r="N30" s="15">
        <f>D30+'T5A_PLAN_vs_PRFM '!D30+'T5B_PLAN_vs_PRFM  (2)'!D30</f>
        <v>129654</v>
      </c>
      <c r="O30" s="618">
        <f>J30+'T5A_PLAN_vs_PRFM '!J30+'T5B_PLAN_vs_PRFM  (2)'!J30</f>
        <v>100876.66731250001</v>
      </c>
    </row>
    <row r="31" spans="1:15" x14ac:dyDescent="0.2">
      <c r="A31" s="17">
        <v>20</v>
      </c>
      <c r="B31" s="184" t="s">
        <v>894</v>
      </c>
      <c r="C31" s="348">
        <v>718</v>
      </c>
      <c r="D31" s="18">
        <v>58062</v>
      </c>
      <c r="E31" s="18">
        <v>254</v>
      </c>
      <c r="F31" s="97">
        <f t="shared" si="0"/>
        <v>14747748</v>
      </c>
      <c r="G31" s="18">
        <f>'AT3A_cvrg(Insti)_PY'!L31</f>
        <v>600</v>
      </c>
      <c r="H31" s="27">
        <f>'enrolment vs availed_PY'!M30+'enrolment vs availed_PY'!N30+'enrolment vs availed_PY'!P30</f>
        <v>12553381</v>
      </c>
      <c r="I31" s="27">
        <v>250</v>
      </c>
      <c r="J31" s="366">
        <f t="shared" si="1"/>
        <v>50213.523999999998</v>
      </c>
      <c r="L31" s="15">
        <v>252</v>
      </c>
      <c r="N31" s="15">
        <f>D31+'T5A_PLAN_vs_PRFM '!D31+'T5B_PLAN_vs_PRFM  (2)'!D31</f>
        <v>82110</v>
      </c>
      <c r="O31" s="618">
        <f>J31+'T5A_PLAN_vs_PRFM '!J31+'T5B_PLAN_vs_PRFM  (2)'!J31</f>
        <v>71487.012000000002</v>
      </c>
    </row>
    <row r="32" spans="1:15" x14ac:dyDescent="0.2">
      <c r="A32" s="17">
        <v>21</v>
      </c>
      <c r="B32" s="184" t="s">
        <v>895</v>
      </c>
      <c r="C32" s="348">
        <v>889</v>
      </c>
      <c r="D32" s="18">
        <v>94332</v>
      </c>
      <c r="E32" s="18">
        <v>254</v>
      </c>
      <c r="F32" s="97">
        <f t="shared" si="0"/>
        <v>23960328</v>
      </c>
      <c r="G32" s="18">
        <f>'AT3A_cvrg(Insti)_PY'!L32</f>
        <v>758</v>
      </c>
      <c r="H32" s="27">
        <f>'enrolment vs availed_PY'!M31+'enrolment vs availed_PY'!N31+'enrolment vs availed_PY'!P31</f>
        <v>17231633</v>
      </c>
      <c r="I32" s="27">
        <v>250</v>
      </c>
      <c r="J32" s="366">
        <f t="shared" si="1"/>
        <v>68926.532000000007</v>
      </c>
      <c r="L32" s="15">
        <v>249</v>
      </c>
      <c r="N32" s="15">
        <f>D32+'T5A_PLAN_vs_PRFM '!D32+'T5B_PLAN_vs_PRFM  (2)'!D32</f>
        <v>122473</v>
      </c>
      <c r="O32" s="618">
        <f>J32+'T5A_PLAN_vs_PRFM '!J32+'T5B_PLAN_vs_PRFM  (2)'!J32</f>
        <v>96403.812218750012</v>
      </c>
    </row>
    <row r="33" spans="1:15" x14ac:dyDescent="0.2">
      <c r="A33" s="17">
        <v>22</v>
      </c>
      <c r="B33" s="184" t="s">
        <v>896</v>
      </c>
      <c r="C33" s="348">
        <v>655</v>
      </c>
      <c r="D33" s="18">
        <v>72535</v>
      </c>
      <c r="E33" s="18">
        <v>254</v>
      </c>
      <c r="F33" s="97">
        <f t="shared" si="0"/>
        <v>18423890</v>
      </c>
      <c r="G33" s="18">
        <f>'AT3A_cvrg(Insti)_PY'!L33</f>
        <v>628</v>
      </c>
      <c r="H33" s="27">
        <f>'enrolment vs availed_PY'!M32+'enrolment vs availed_PY'!N32+'enrolment vs availed_PY'!P32</f>
        <v>13026117</v>
      </c>
      <c r="I33" s="27">
        <v>250</v>
      </c>
      <c r="J33" s="366">
        <f t="shared" si="1"/>
        <v>52104.468000000001</v>
      </c>
      <c r="L33" s="15">
        <v>251</v>
      </c>
      <c r="N33" s="15">
        <f>D33+'T5A_PLAN_vs_PRFM '!D33+'T5B_PLAN_vs_PRFM  (2)'!D33</f>
        <v>96685</v>
      </c>
      <c r="O33" s="618">
        <f>J33+'T5A_PLAN_vs_PRFM '!J33+'T5B_PLAN_vs_PRFM  (2)'!J33</f>
        <v>67130.998500000002</v>
      </c>
    </row>
    <row r="34" spans="1:15" x14ac:dyDescent="0.2">
      <c r="A34" s="17">
        <v>23</v>
      </c>
      <c r="B34" s="184" t="s">
        <v>897</v>
      </c>
      <c r="C34" s="348">
        <v>1053</v>
      </c>
      <c r="D34" s="18">
        <v>105698</v>
      </c>
      <c r="E34" s="18">
        <v>254</v>
      </c>
      <c r="F34" s="97">
        <f t="shared" si="0"/>
        <v>26847292</v>
      </c>
      <c r="G34" s="18">
        <f>'AT3A_cvrg(Insti)_PY'!L34</f>
        <v>922</v>
      </c>
      <c r="H34" s="27">
        <f>'enrolment vs availed_PY'!M33+'enrolment vs availed_PY'!N33+'enrolment vs availed_PY'!P33</f>
        <v>22054424</v>
      </c>
      <c r="I34" s="27">
        <v>250</v>
      </c>
      <c r="J34" s="366">
        <f t="shared" si="1"/>
        <v>88217.695999999996</v>
      </c>
      <c r="L34" s="15">
        <v>248</v>
      </c>
      <c r="N34" s="15">
        <f>D34+'T5A_PLAN_vs_PRFM '!D34+'T5B_PLAN_vs_PRFM  (2)'!D34</f>
        <v>146036</v>
      </c>
      <c r="O34" s="618">
        <f>J34+'T5A_PLAN_vs_PRFM '!J34+'T5B_PLAN_vs_PRFM  (2)'!J34</f>
        <v>121825.916</v>
      </c>
    </row>
    <row r="35" spans="1:15" x14ac:dyDescent="0.2">
      <c r="A35" s="17">
        <v>24</v>
      </c>
      <c r="B35" s="184" t="s">
        <v>898</v>
      </c>
      <c r="C35" s="348">
        <v>1435</v>
      </c>
      <c r="D35" s="18">
        <v>98398</v>
      </c>
      <c r="E35" s="18">
        <v>254</v>
      </c>
      <c r="F35" s="97">
        <f t="shared" si="0"/>
        <v>24993092</v>
      </c>
      <c r="G35" s="18">
        <f>'AT3A_cvrg(Insti)_PY'!L35</f>
        <v>1296</v>
      </c>
      <c r="H35" s="27">
        <f>'enrolment vs availed_PY'!M34+'enrolment vs availed_PY'!N34+'enrolment vs availed_PY'!P34</f>
        <v>25118535</v>
      </c>
      <c r="I35" s="27">
        <v>250</v>
      </c>
      <c r="J35" s="366">
        <f t="shared" si="1"/>
        <v>100474.14</v>
      </c>
      <c r="L35" s="15">
        <v>254</v>
      </c>
      <c r="N35" s="15">
        <f>D35+'T5A_PLAN_vs_PRFM '!D35+'T5B_PLAN_vs_PRFM  (2)'!D35</f>
        <v>146571</v>
      </c>
      <c r="O35" s="618">
        <f>J35+'T5A_PLAN_vs_PRFM '!J35+'T5B_PLAN_vs_PRFM  (2)'!J35</f>
        <v>160058.356</v>
      </c>
    </row>
    <row r="36" spans="1:15" x14ac:dyDescent="0.2">
      <c r="A36" s="733" t="s">
        <v>15</v>
      </c>
      <c r="B36" s="735"/>
      <c r="C36" s="28">
        <f>SUM(C12:C35)</f>
        <v>24954</v>
      </c>
      <c r="D36" s="28">
        <f t="shared" ref="D36:J36" si="2">SUM(D12:D35)</f>
        <v>2251113</v>
      </c>
      <c r="E36" s="28"/>
      <c r="F36" s="28">
        <f t="shared" si="2"/>
        <v>571782702</v>
      </c>
      <c r="G36" s="28">
        <f t="shared" si="2"/>
        <v>21838</v>
      </c>
      <c r="H36" s="28">
        <f t="shared" si="2"/>
        <v>462657852</v>
      </c>
      <c r="I36" s="28"/>
      <c r="J36" s="343">
        <f t="shared" si="2"/>
        <v>1850631.4079999998</v>
      </c>
      <c r="K36" s="389"/>
      <c r="L36" s="666">
        <f>J36/D36</f>
        <v>0.82209618442077315</v>
      </c>
    </row>
    <row r="37" spans="1:15" x14ac:dyDescent="0.2">
      <c r="A37" s="11"/>
      <c r="B37" s="29"/>
      <c r="C37" s="29"/>
      <c r="D37" s="20"/>
      <c r="E37" s="20"/>
      <c r="F37" s="20"/>
      <c r="G37" s="20"/>
      <c r="H37" s="20"/>
      <c r="I37" s="20"/>
      <c r="J37" s="20"/>
    </row>
    <row r="38" spans="1:15" x14ac:dyDescent="0.2">
      <c r="A38" s="885" t="s">
        <v>859</v>
      </c>
      <c r="B38" s="885"/>
      <c r="C38" s="885"/>
      <c r="D38" s="885"/>
      <c r="E38" s="885"/>
      <c r="F38" s="885"/>
      <c r="G38" s="885"/>
      <c r="H38" s="885"/>
      <c r="I38" s="449"/>
      <c r="J38" s="20"/>
    </row>
    <row r="39" spans="1:15" x14ac:dyDescent="0.2">
      <c r="A39" s="11"/>
      <c r="B39" s="29" t="s">
        <v>1117</v>
      </c>
      <c r="C39" s="29"/>
      <c r="D39" s="20">
        <f>'T5A_PLAN_vs_PRFM '!D36</f>
        <v>954152</v>
      </c>
      <c r="E39" s="20"/>
      <c r="F39" s="20"/>
      <c r="G39" s="20"/>
      <c r="H39" s="20"/>
      <c r="I39" s="20"/>
      <c r="J39" s="449">
        <f>'T5A_PLAN_vs_PRFM '!J36</f>
        <v>852178.97200000018</v>
      </c>
    </row>
    <row r="40" spans="1:15" x14ac:dyDescent="0.2">
      <c r="A40" s="11"/>
      <c r="B40" s="29" t="s">
        <v>1118</v>
      </c>
      <c r="C40" s="29"/>
      <c r="D40" s="20">
        <f>'T5B_PLAN_vs_PRFM  (2)'!D36</f>
        <v>4694</v>
      </c>
      <c r="E40" s="20"/>
      <c r="F40" s="20"/>
      <c r="G40" s="20"/>
      <c r="H40" s="20"/>
      <c r="I40" s="20"/>
      <c r="J40" s="449">
        <f>'T5B_PLAN_vs_PRFM  (2)'!J36</f>
        <v>2905.6875</v>
      </c>
    </row>
    <row r="41" spans="1:15" ht="15.75" customHeight="1" x14ac:dyDescent="0.2">
      <c r="A41" s="670" t="s">
        <v>11</v>
      </c>
      <c r="B41" s="670"/>
      <c r="C41" s="670"/>
      <c r="D41" s="670">
        <f>SUM(D36+D39+D40)</f>
        <v>3209959</v>
      </c>
      <c r="E41" s="670"/>
      <c r="F41" s="670"/>
      <c r="G41" s="670"/>
      <c r="H41" s="669"/>
      <c r="J41" s="713">
        <f>SUM(J36+J39+J40)</f>
        <v>2705716.0674999999</v>
      </c>
    </row>
    <row r="42" spans="1:15" ht="15.75" customHeight="1" x14ac:dyDescent="0.2">
      <c r="A42" s="670"/>
      <c r="B42" s="670"/>
      <c r="C42" s="670"/>
      <c r="D42" s="670"/>
      <c r="E42" s="670"/>
      <c r="F42" s="670"/>
      <c r="G42" s="670"/>
      <c r="H42" s="669"/>
      <c r="I42" s="709"/>
      <c r="J42" s="714">
        <f>J41/D41</f>
        <v>0.84291296789149017</v>
      </c>
    </row>
    <row r="43" spans="1:15" ht="15.75" customHeight="1" x14ac:dyDescent="0.2">
      <c r="A43" s="670"/>
      <c r="B43" s="670"/>
      <c r="C43" s="670"/>
      <c r="D43" s="670"/>
      <c r="E43" s="670"/>
      <c r="F43" s="670"/>
      <c r="G43" s="670"/>
      <c r="H43" s="669"/>
      <c r="I43" s="709"/>
      <c r="J43" s="709"/>
    </row>
    <row r="44" spans="1:15" ht="15.75" customHeight="1" x14ac:dyDescent="0.2">
      <c r="A44" s="670"/>
      <c r="B44" s="670"/>
      <c r="C44" s="670"/>
      <c r="D44" s="670"/>
      <c r="E44" s="670"/>
      <c r="F44" s="670"/>
      <c r="G44" s="670"/>
      <c r="H44" s="669"/>
      <c r="I44" s="709"/>
      <c r="J44" s="709"/>
    </row>
    <row r="45" spans="1:15" ht="15.75" customHeight="1" x14ac:dyDescent="0.2">
      <c r="A45" s="670"/>
      <c r="B45" s="670"/>
      <c r="C45" s="670"/>
      <c r="D45" s="670"/>
      <c r="E45" s="670"/>
      <c r="F45" s="670"/>
      <c r="G45" s="670"/>
      <c r="H45" s="669"/>
      <c r="I45" s="709"/>
      <c r="J45" s="709"/>
    </row>
    <row r="46" spans="1:15" ht="15.75" customHeight="1" x14ac:dyDescent="0.2">
      <c r="A46" s="670"/>
      <c r="B46" s="670"/>
      <c r="C46" s="670"/>
      <c r="D46" s="670"/>
      <c r="E46" s="670"/>
      <c r="F46" s="670"/>
      <c r="G46" s="670"/>
      <c r="H46" s="669"/>
      <c r="I46" s="757" t="s">
        <v>1107</v>
      </c>
      <c r="J46" s="757"/>
    </row>
    <row r="47" spans="1:15" ht="12.75" customHeight="1" x14ac:dyDescent="0.2">
      <c r="A47" s="758" t="s">
        <v>1108</v>
      </c>
      <c r="B47" s="758"/>
      <c r="C47" s="758"/>
      <c r="D47" s="758"/>
      <c r="E47" s="758"/>
      <c r="F47" s="758"/>
      <c r="G47" s="758"/>
      <c r="H47" s="758"/>
      <c r="I47" s="758"/>
      <c r="J47" s="758"/>
    </row>
    <row r="48" spans="1:15" ht="12.75" customHeight="1" x14ac:dyDescent="0.2">
      <c r="A48" s="758" t="s">
        <v>1111</v>
      </c>
      <c r="B48" s="758"/>
      <c r="C48" s="758"/>
      <c r="D48" s="758"/>
      <c r="E48" s="758"/>
      <c r="F48" s="758"/>
      <c r="G48" s="758"/>
      <c r="H48" s="758"/>
      <c r="I48" s="758"/>
      <c r="J48" s="758"/>
    </row>
    <row r="49" spans="1:10" x14ac:dyDescent="0.2">
      <c r="A49" s="670"/>
      <c r="B49" s="670"/>
      <c r="C49" s="670"/>
      <c r="D49" s="669"/>
      <c r="E49" s="670"/>
      <c r="F49" s="669"/>
      <c r="G49" s="669"/>
      <c r="H49" s="756" t="s">
        <v>1110</v>
      </c>
      <c r="I49" s="756"/>
      <c r="J49" s="756"/>
    </row>
    <row r="53" spans="1:10" x14ac:dyDescent="0.2">
      <c r="A53" s="886"/>
      <c r="B53" s="886"/>
      <c r="C53" s="886"/>
      <c r="D53" s="886"/>
      <c r="E53" s="886"/>
      <c r="F53" s="886"/>
      <c r="G53" s="886"/>
      <c r="H53" s="886"/>
      <c r="I53" s="886"/>
      <c r="J53" s="886"/>
    </row>
    <row r="55" spans="1:10" x14ac:dyDescent="0.2">
      <c r="A55" s="886"/>
      <c r="B55" s="886"/>
      <c r="C55" s="886"/>
      <c r="D55" s="886"/>
      <c r="E55" s="886"/>
      <c r="F55" s="886"/>
      <c r="G55" s="886"/>
      <c r="H55" s="886"/>
      <c r="I55" s="886"/>
      <c r="J55" s="886"/>
    </row>
  </sheetData>
  <mergeCells count="17">
    <mergeCell ref="E1:I1"/>
    <mergeCell ref="A2:J2"/>
    <mergeCell ref="A3:J3"/>
    <mergeCell ref="G9:J9"/>
    <mergeCell ref="C9:F9"/>
    <mergeCell ref="H8:J8"/>
    <mergeCell ref="A5:J5"/>
    <mergeCell ref="B9:B10"/>
    <mergeCell ref="A36:B36"/>
    <mergeCell ref="A38:H38"/>
    <mergeCell ref="A55:J55"/>
    <mergeCell ref="A53:J53"/>
    <mergeCell ref="A9:A10"/>
    <mergeCell ref="I46:J46"/>
    <mergeCell ref="H49:J49"/>
    <mergeCell ref="A47:J47"/>
    <mergeCell ref="A48:J4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view="pageBreakPreview" topLeftCell="A19" zoomScale="90" zoomScaleNormal="100" zoomScaleSheetLayoutView="90" workbookViewId="0">
      <selection activeCell="A40" sqref="A40:J43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2.140625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792"/>
      <c r="F1" s="792"/>
      <c r="G1" s="792"/>
      <c r="H1" s="792"/>
      <c r="I1" s="792"/>
      <c r="J1" s="133" t="s">
        <v>354</v>
      </c>
    </row>
    <row r="2" spans="1:16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6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</row>
    <row r="4" spans="1:16" customFormat="1" ht="14.25" customHeight="1" x14ac:dyDescent="0.2"/>
    <row r="5" spans="1:16" ht="15.75" x14ac:dyDescent="0.25">
      <c r="A5" s="880" t="s">
        <v>741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6" x14ac:dyDescent="0.2">
      <c r="A8" s="33" t="s">
        <v>1098</v>
      </c>
      <c r="B8" s="598"/>
      <c r="C8" s="30"/>
      <c r="H8" s="870" t="s">
        <v>770</v>
      </c>
      <c r="I8" s="870"/>
      <c r="J8" s="870"/>
    </row>
    <row r="9" spans="1:16" x14ac:dyDescent="0.2">
      <c r="A9" s="775" t="s">
        <v>1</v>
      </c>
      <c r="B9" s="775" t="s">
        <v>2</v>
      </c>
      <c r="C9" s="733" t="s">
        <v>740</v>
      </c>
      <c r="D9" s="734"/>
      <c r="E9" s="734"/>
      <c r="F9" s="735"/>
      <c r="G9" s="733" t="s">
        <v>98</v>
      </c>
      <c r="H9" s="734"/>
      <c r="I9" s="734"/>
      <c r="J9" s="735"/>
      <c r="O9" s="18"/>
      <c r="P9" s="20"/>
    </row>
    <row r="10" spans="1:16" ht="63.75" x14ac:dyDescent="0.2">
      <c r="A10" s="775"/>
      <c r="B10" s="775"/>
      <c r="C10" s="5" t="s">
        <v>176</v>
      </c>
      <c r="D10" s="5" t="s">
        <v>13</v>
      </c>
      <c r="E10" s="227" t="s">
        <v>771</v>
      </c>
      <c r="F10" s="7" t="s">
        <v>193</v>
      </c>
      <c r="G10" s="5" t="s">
        <v>176</v>
      </c>
      <c r="H10" s="24" t="s">
        <v>14</v>
      </c>
      <c r="I10" s="98" t="s">
        <v>857</v>
      </c>
      <c r="J10" s="5" t="s">
        <v>858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">
      <c r="A12" s="17">
        <v>1</v>
      </c>
      <c r="B12" s="184" t="s">
        <v>875</v>
      </c>
      <c r="C12" s="320">
        <v>902</v>
      </c>
      <c r="D12" s="320">
        <v>59109</v>
      </c>
      <c r="E12" s="320">
        <v>254</v>
      </c>
      <c r="F12" s="337">
        <f>D12*E12</f>
        <v>15013686</v>
      </c>
      <c r="G12" s="320">
        <f>'AT3B_cvrg(Insti)_UPY '!L11+'AT3C_cvrg(Insti)_UPY '!L11</f>
        <v>845</v>
      </c>
      <c r="H12" s="338">
        <f>'enrolment vs availed_UPY'!M11+'enrolment vs availed_UPY'!N11+'enrolment vs availed_UPY'!P11</f>
        <v>13478547</v>
      </c>
      <c r="I12" s="338">
        <v>250</v>
      </c>
      <c r="J12" s="367">
        <f>H12/I12</f>
        <v>53914.188000000002</v>
      </c>
    </row>
    <row r="13" spans="1:16" x14ac:dyDescent="0.2">
      <c r="A13" s="17">
        <v>2</v>
      </c>
      <c r="B13" s="184" t="s">
        <v>876</v>
      </c>
      <c r="C13" s="320">
        <v>337</v>
      </c>
      <c r="D13" s="320">
        <v>18246</v>
      </c>
      <c r="E13" s="320">
        <v>254</v>
      </c>
      <c r="F13" s="337">
        <f t="shared" ref="F13:F35" si="0">D13*E13</f>
        <v>4634484</v>
      </c>
      <c r="G13" s="320">
        <f>'AT3B_cvrg(Insti)_UPY '!L12+'AT3C_cvrg(Insti)_UPY '!L12</f>
        <v>319</v>
      </c>
      <c r="H13" s="338">
        <f>'enrolment vs availed_UPY'!M12+'enrolment vs availed_UPY'!N12+'enrolment vs availed_UPY'!P12</f>
        <v>3751107</v>
      </c>
      <c r="I13" s="338">
        <v>250</v>
      </c>
      <c r="J13" s="367">
        <f t="shared" ref="J13:J35" si="1">H13/I13</f>
        <v>15004.428</v>
      </c>
    </row>
    <row r="14" spans="1:16" x14ac:dyDescent="0.2">
      <c r="A14" s="17">
        <v>3</v>
      </c>
      <c r="B14" s="184" t="s">
        <v>877</v>
      </c>
      <c r="C14" s="320">
        <v>218</v>
      </c>
      <c r="D14" s="320">
        <v>14974</v>
      </c>
      <c r="E14" s="320">
        <v>254</v>
      </c>
      <c r="F14" s="337">
        <f t="shared" si="0"/>
        <v>3803396</v>
      </c>
      <c r="G14" s="320">
        <f>'AT3B_cvrg(Insti)_UPY '!L13+'AT3C_cvrg(Insti)_UPY '!L13</f>
        <v>201</v>
      </c>
      <c r="H14" s="338">
        <f>'enrolment vs availed_UPY'!M13+'enrolment vs availed_UPY'!N13+'enrolment vs availed_UPY'!P13</f>
        <v>3438607</v>
      </c>
      <c r="I14" s="338">
        <v>250</v>
      </c>
      <c r="J14" s="367">
        <f t="shared" si="1"/>
        <v>13754.428</v>
      </c>
    </row>
    <row r="15" spans="1:16" x14ac:dyDescent="0.2">
      <c r="A15" s="17">
        <v>4</v>
      </c>
      <c r="B15" s="184" t="s">
        <v>878</v>
      </c>
      <c r="C15" s="320">
        <v>641</v>
      </c>
      <c r="D15" s="320">
        <v>38995</v>
      </c>
      <c r="E15" s="320">
        <v>254</v>
      </c>
      <c r="F15" s="337">
        <f t="shared" si="0"/>
        <v>9904730</v>
      </c>
      <c r="G15" s="320">
        <f>'AT3B_cvrg(Insti)_UPY '!L14+'AT3C_cvrg(Insti)_UPY '!L14</f>
        <v>600</v>
      </c>
      <c r="H15" s="338">
        <f>'enrolment vs availed_UPY'!M14+'enrolment vs availed_UPY'!N14+'enrolment vs availed_UPY'!P14</f>
        <v>8811534</v>
      </c>
      <c r="I15" s="338">
        <v>250</v>
      </c>
      <c r="J15" s="367">
        <f t="shared" si="1"/>
        <v>35246.135999999999</v>
      </c>
    </row>
    <row r="16" spans="1:16" x14ac:dyDescent="0.2">
      <c r="A16" s="17">
        <v>5</v>
      </c>
      <c r="B16" s="184" t="s">
        <v>879</v>
      </c>
      <c r="C16" s="320">
        <v>417</v>
      </c>
      <c r="D16" s="320">
        <v>21213</v>
      </c>
      <c r="E16" s="320">
        <v>254</v>
      </c>
      <c r="F16" s="337">
        <f t="shared" si="0"/>
        <v>5388102</v>
      </c>
      <c r="G16" s="320">
        <f>'AT3B_cvrg(Insti)_UPY '!L15+'AT3C_cvrg(Insti)_UPY '!L15</f>
        <v>382</v>
      </c>
      <c r="H16" s="338">
        <f>'enrolment vs availed_UPY'!M15+'enrolment vs availed_UPY'!N15+'enrolment vs availed_UPY'!P15</f>
        <v>4950489</v>
      </c>
      <c r="I16" s="338">
        <v>250</v>
      </c>
      <c r="J16" s="367">
        <f t="shared" si="1"/>
        <v>19801.955999999998</v>
      </c>
    </row>
    <row r="17" spans="1:10" x14ac:dyDescent="0.2">
      <c r="A17" s="17">
        <v>6</v>
      </c>
      <c r="B17" s="184" t="s">
        <v>880</v>
      </c>
      <c r="C17" s="320">
        <v>683</v>
      </c>
      <c r="D17" s="320">
        <v>42441</v>
      </c>
      <c r="E17" s="320">
        <v>254</v>
      </c>
      <c r="F17" s="337">
        <f t="shared" si="0"/>
        <v>10780014</v>
      </c>
      <c r="G17" s="320">
        <f>'AT3B_cvrg(Insti)_UPY '!L16+'AT3C_cvrg(Insti)_UPY '!L16</f>
        <v>654</v>
      </c>
      <c r="H17" s="338">
        <f>'enrolment vs availed_UPY'!M16+'enrolment vs availed_UPY'!N16+'enrolment vs availed_UPY'!P16</f>
        <v>10736430</v>
      </c>
      <c r="I17" s="338">
        <v>250</v>
      </c>
      <c r="J17" s="367">
        <f t="shared" si="1"/>
        <v>42945.72</v>
      </c>
    </row>
    <row r="18" spans="1:10" x14ac:dyDescent="0.2">
      <c r="A18" s="17">
        <v>7</v>
      </c>
      <c r="B18" s="184" t="s">
        <v>881</v>
      </c>
      <c r="C18" s="320">
        <v>612</v>
      </c>
      <c r="D18" s="320">
        <v>40076</v>
      </c>
      <c r="E18" s="320">
        <v>254</v>
      </c>
      <c r="F18" s="337">
        <f t="shared" si="0"/>
        <v>10179304</v>
      </c>
      <c r="G18" s="320">
        <f>'AT3B_cvrg(Insti)_UPY '!L17+'AT3C_cvrg(Insti)_UPY '!L17</f>
        <v>560</v>
      </c>
      <c r="H18" s="338">
        <f>'enrolment vs availed_UPY'!M17+'enrolment vs availed_UPY'!N17+'enrolment vs availed_UPY'!P17</f>
        <v>6841103</v>
      </c>
      <c r="I18" s="338">
        <v>250</v>
      </c>
      <c r="J18" s="367">
        <f t="shared" si="1"/>
        <v>27364.412</v>
      </c>
    </row>
    <row r="19" spans="1:10" x14ac:dyDescent="0.2">
      <c r="A19" s="17">
        <v>8</v>
      </c>
      <c r="B19" s="184" t="s">
        <v>882</v>
      </c>
      <c r="C19" s="320">
        <v>705</v>
      </c>
      <c r="D19" s="320">
        <v>50149</v>
      </c>
      <c r="E19" s="320">
        <v>254</v>
      </c>
      <c r="F19" s="337">
        <f t="shared" si="0"/>
        <v>12737846</v>
      </c>
      <c r="G19" s="320">
        <f>'AT3B_cvrg(Insti)_UPY '!L18+'AT3C_cvrg(Insti)_UPY '!L18</f>
        <v>687</v>
      </c>
      <c r="H19" s="338">
        <f>'enrolment vs availed_UPY'!M18+'enrolment vs availed_UPY'!N18+'enrolment vs availed_UPY'!P18</f>
        <v>11855684</v>
      </c>
      <c r="I19" s="338">
        <v>250</v>
      </c>
      <c r="J19" s="367">
        <f t="shared" si="1"/>
        <v>47422.735999999997</v>
      </c>
    </row>
    <row r="20" spans="1:10" x14ac:dyDescent="0.2">
      <c r="A20" s="17">
        <v>9</v>
      </c>
      <c r="B20" s="184" t="s">
        <v>883</v>
      </c>
      <c r="C20" s="320">
        <v>1299</v>
      </c>
      <c r="D20" s="320">
        <v>84228</v>
      </c>
      <c r="E20" s="320">
        <v>254</v>
      </c>
      <c r="F20" s="337">
        <f t="shared" si="0"/>
        <v>21393912</v>
      </c>
      <c r="G20" s="320">
        <f>'AT3B_cvrg(Insti)_UPY '!L19+'AT3C_cvrg(Insti)_UPY '!L19</f>
        <v>1296</v>
      </c>
      <c r="H20" s="338">
        <f>'enrolment vs availed_UPY'!M19+'enrolment vs availed_UPY'!N19+'enrolment vs availed_UPY'!P19</f>
        <v>18211169</v>
      </c>
      <c r="I20" s="338">
        <v>250</v>
      </c>
      <c r="J20" s="367">
        <f t="shared" si="1"/>
        <v>72844.676000000007</v>
      </c>
    </row>
    <row r="21" spans="1:10" x14ac:dyDescent="0.2">
      <c r="A21" s="17">
        <v>10</v>
      </c>
      <c r="B21" s="184" t="s">
        <v>884</v>
      </c>
      <c r="C21" s="320">
        <v>432</v>
      </c>
      <c r="D21" s="320">
        <v>24287</v>
      </c>
      <c r="E21" s="320">
        <v>254</v>
      </c>
      <c r="F21" s="337">
        <f t="shared" si="0"/>
        <v>6168898</v>
      </c>
      <c r="G21" s="320">
        <f>'AT3B_cvrg(Insti)_UPY '!L20+'AT3C_cvrg(Insti)_UPY '!L20</f>
        <v>405</v>
      </c>
      <c r="H21" s="338">
        <f>'enrolment vs availed_UPY'!M20+'enrolment vs availed_UPY'!N20+'enrolment vs availed_UPY'!P20</f>
        <v>5796956</v>
      </c>
      <c r="I21" s="338">
        <v>250</v>
      </c>
      <c r="J21" s="367">
        <f t="shared" si="1"/>
        <v>23187.824000000001</v>
      </c>
    </row>
    <row r="22" spans="1:10" x14ac:dyDescent="0.2">
      <c r="A22" s="17">
        <v>11</v>
      </c>
      <c r="B22" s="184" t="s">
        <v>885</v>
      </c>
      <c r="C22" s="320">
        <v>508</v>
      </c>
      <c r="D22" s="320">
        <v>47571</v>
      </c>
      <c r="E22" s="320">
        <v>254</v>
      </c>
      <c r="F22" s="337">
        <f t="shared" si="0"/>
        <v>12083034</v>
      </c>
      <c r="G22" s="320">
        <f>'AT3B_cvrg(Insti)_UPY '!L21+'AT3C_cvrg(Insti)_UPY '!L21</f>
        <v>440</v>
      </c>
      <c r="H22" s="338">
        <f>'enrolment vs availed_UPY'!M21+'enrolment vs availed_UPY'!N21+'enrolment vs availed_UPY'!P21</f>
        <v>9675466</v>
      </c>
      <c r="I22" s="338">
        <v>250</v>
      </c>
      <c r="J22" s="367">
        <f t="shared" si="1"/>
        <v>38701.864000000001</v>
      </c>
    </row>
    <row r="23" spans="1:10" x14ac:dyDescent="0.2">
      <c r="A23" s="17">
        <v>12</v>
      </c>
      <c r="B23" s="241" t="s">
        <v>886</v>
      </c>
      <c r="C23" s="320">
        <v>590</v>
      </c>
      <c r="D23" s="320">
        <v>48825</v>
      </c>
      <c r="E23" s="320">
        <v>254</v>
      </c>
      <c r="F23" s="337">
        <f t="shared" si="0"/>
        <v>12401550</v>
      </c>
      <c r="G23" s="320">
        <f>'AT3B_cvrg(Insti)_UPY '!L22+'AT3C_cvrg(Insti)_UPY '!L22</f>
        <v>580</v>
      </c>
      <c r="H23" s="338">
        <f>'enrolment vs availed_UPY'!M22+'enrolment vs availed_UPY'!N22+'enrolment vs availed_UPY'!P22</f>
        <v>10820608</v>
      </c>
      <c r="I23" s="338">
        <v>250</v>
      </c>
      <c r="J23" s="367">
        <f t="shared" si="1"/>
        <v>43282.432000000001</v>
      </c>
    </row>
    <row r="24" spans="1:10" x14ac:dyDescent="0.2">
      <c r="A24" s="17">
        <v>13</v>
      </c>
      <c r="B24" s="184" t="s">
        <v>887</v>
      </c>
      <c r="C24" s="320">
        <v>257</v>
      </c>
      <c r="D24" s="320">
        <v>23024</v>
      </c>
      <c r="E24" s="320">
        <v>254</v>
      </c>
      <c r="F24" s="337">
        <f t="shared" si="0"/>
        <v>5848096</v>
      </c>
      <c r="G24" s="320">
        <f>'AT3B_cvrg(Insti)_UPY '!L23+'AT3C_cvrg(Insti)_UPY '!L23</f>
        <v>240</v>
      </c>
      <c r="H24" s="338">
        <f>'enrolment vs availed_UPY'!M23+'enrolment vs availed_UPY'!N23+'enrolment vs availed_UPY'!P23</f>
        <v>5228459</v>
      </c>
      <c r="I24" s="338">
        <v>250</v>
      </c>
      <c r="J24" s="367">
        <f t="shared" si="1"/>
        <v>20913.835999999999</v>
      </c>
    </row>
    <row r="25" spans="1:10" x14ac:dyDescent="0.2">
      <c r="A25" s="17">
        <v>14</v>
      </c>
      <c r="B25" s="184" t="s">
        <v>888</v>
      </c>
      <c r="C25" s="320">
        <v>317</v>
      </c>
      <c r="D25" s="320">
        <v>31174</v>
      </c>
      <c r="E25" s="320">
        <v>254</v>
      </c>
      <c r="F25" s="337">
        <f t="shared" si="0"/>
        <v>7918196</v>
      </c>
      <c r="G25" s="320">
        <f>'AT3B_cvrg(Insti)_UPY '!L24+'AT3C_cvrg(Insti)_UPY '!L24</f>
        <v>296</v>
      </c>
      <c r="H25" s="338">
        <f>'enrolment vs availed_UPY'!M24+'enrolment vs availed_UPY'!N24+'enrolment vs availed_UPY'!P24</f>
        <v>5229011</v>
      </c>
      <c r="I25" s="338">
        <v>250</v>
      </c>
      <c r="J25" s="367">
        <f t="shared" si="1"/>
        <v>20916.044000000002</v>
      </c>
    </row>
    <row r="26" spans="1:10" x14ac:dyDescent="0.2">
      <c r="A26" s="17">
        <v>15</v>
      </c>
      <c r="B26" s="184" t="s">
        <v>889</v>
      </c>
      <c r="C26" s="322">
        <v>711</v>
      </c>
      <c r="D26" s="320">
        <v>47036</v>
      </c>
      <c r="E26" s="320">
        <v>254</v>
      </c>
      <c r="F26" s="337">
        <f t="shared" si="0"/>
        <v>11947144</v>
      </c>
      <c r="G26" s="320">
        <f>'AT3B_cvrg(Insti)_UPY '!L25+'AT3C_cvrg(Insti)_UPY '!L25</f>
        <v>644</v>
      </c>
      <c r="H26" s="338">
        <f>'enrolment vs availed_UPY'!M25+'enrolment vs availed_UPY'!N25+'enrolment vs availed_UPY'!P25</f>
        <v>11658594</v>
      </c>
      <c r="I26" s="338">
        <v>250</v>
      </c>
      <c r="J26" s="367">
        <f t="shared" si="1"/>
        <v>46634.375999999997</v>
      </c>
    </row>
    <row r="27" spans="1:10" x14ac:dyDescent="0.2">
      <c r="A27" s="17">
        <v>16</v>
      </c>
      <c r="B27" s="184" t="s">
        <v>890</v>
      </c>
      <c r="C27" s="322">
        <v>1293</v>
      </c>
      <c r="D27" s="320">
        <v>66491</v>
      </c>
      <c r="E27" s="320">
        <v>254</v>
      </c>
      <c r="F27" s="337">
        <f t="shared" si="0"/>
        <v>16888714</v>
      </c>
      <c r="G27" s="320">
        <f>'AT3B_cvrg(Insti)_UPY '!L26+'AT3C_cvrg(Insti)_UPY '!L26</f>
        <v>1248</v>
      </c>
      <c r="H27" s="338">
        <f>'enrolment vs availed_UPY'!M26+'enrolment vs availed_UPY'!N26+'enrolment vs availed_UPY'!P26</f>
        <v>13302712</v>
      </c>
      <c r="I27" s="338">
        <v>250</v>
      </c>
      <c r="J27" s="367">
        <f t="shared" si="1"/>
        <v>53210.847999999998</v>
      </c>
    </row>
    <row r="28" spans="1:10" x14ac:dyDescent="0.2">
      <c r="A28" s="17">
        <v>17</v>
      </c>
      <c r="B28" s="184" t="s">
        <v>891</v>
      </c>
      <c r="C28" s="322">
        <v>614</v>
      </c>
      <c r="D28" s="320">
        <v>50541</v>
      </c>
      <c r="E28" s="320">
        <v>254</v>
      </c>
      <c r="F28" s="337">
        <f t="shared" si="0"/>
        <v>12837414</v>
      </c>
      <c r="G28" s="320">
        <f>'AT3B_cvrg(Insti)_UPY '!L27+'AT3C_cvrg(Insti)_UPY '!L27</f>
        <v>603</v>
      </c>
      <c r="H28" s="338">
        <f>'enrolment vs availed_UPY'!M27+'enrolment vs availed_UPY'!N27+'enrolment vs availed_UPY'!P27</f>
        <v>12195488</v>
      </c>
      <c r="I28" s="338">
        <v>250</v>
      </c>
      <c r="J28" s="367">
        <f t="shared" si="1"/>
        <v>48781.951999999997</v>
      </c>
    </row>
    <row r="29" spans="1:10" x14ac:dyDescent="0.2">
      <c r="A29" s="17">
        <v>18</v>
      </c>
      <c r="B29" s="184" t="s">
        <v>892</v>
      </c>
      <c r="C29" s="322">
        <v>559</v>
      </c>
      <c r="D29" s="320">
        <v>47087</v>
      </c>
      <c r="E29" s="320">
        <v>254</v>
      </c>
      <c r="F29" s="337">
        <f t="shared" si="0"/>
        <v>11960098</v>
      </c>
      <c r="G29" s="320">
        <f>'AT3B_cvrg(Insti)_UPY '!L28+'AT3C_cvrg(Insti)_UPY '!L28</f>
        <v>532</v>
      </c>
      <c r="H29" s="338">
        <f>'enrolment vs availed_UPY'!M28+'enrolment vs availed_UPY'!N28+'enrolment vs availed_UPY'!P28</f>
        <v>10227326</v>
      </c>
      <c r="I29" s="338">
        <v>250</v>
      </c>
      <c r="J29" s="367">
        <f t="shared" si="1"/>
        <v>40909.303999999996</v>
      </c>
    </row>
    <row r="30" spans="1:10" x14ac:dyDescent="0.2">
      <c r="A30" s="17">
        <v>19</v>
      </c>
      <c r="B30" s="184" t="s">
        <v>893</v>
      </c>
      <c r="C30" s="322">
        <v>821</v>
      </c>
      <c r="D30" s="320">
        <v>34597</v>
      </c>
      <c r="E30" s="320">
        <v>254</v>
      </c>
      <c r="F30" s="337">
        <f t="shared" si="0"/>
        <v>8787638</v>
      </c>
      <c r="G30" s="320">
        <f>'AT3B_cvrg(Insti)_UPY '!L29+'AT3C_cvrg(Insti)_UPY '!L29</f>
        <v>810</v>
      </c>
      <c r="H30" s="338">
        <f>'enrolment vs availed_UPY'!M29+'enrolment vs availed_UPY'!N29+'enrolment vs availed_UPY'!P29</f>
        <v>7645241</v>
      </c>
      <c r="I30" s="338">
        <v>250</v>
      </c>
      <c r="J30" s="367">
        <f t="shared" si="1"/>
        <v>30580.964</v>
      </c>
    </row>
    <row r="31" spans="1:10" x14ac:dyDescent="0.2">
      <c r="A31" s="17">
        <v>20</v>
      </c>
      <c r="B31" s="184" t="s">
        <v>894</v>
      </c>
      <c r="C31" s="322">
        <v>448</v>
      </c>
      <c r="D31" s="320">
        <v>24048</v>
      </c>
      <c r="E31" s="320">
        <v>254</v>
      </c>
      <c r="F31" s="337">
        <f t="shared" si="0"/>
        <v>6108192</v>
      </c>
      <c r="G31" s="320">
        <f>'AT3B_cvrg(Insti)_UPY '!L30+'AT3C_cvrg(Insti)_UPY '!L30</f>
        <v>415</v>
      </c>
      <c r="H31" s="338">
        <f>'enrolment vs availed_UPY'!M30+'enrolment vs availed_UPY'!N30+'enrolment vs availed_UPY'!P30</f>
        <v>5318372</v>
      </c>
      <c r="I31" s="338">
        <v>250</v>
      </c>
      <c r="J31" s="367">
        <f t="shared" si="1"/>
        <v>21273.488000000001</v>
      </c>
    </row>
    <row r="32" spans="1:10" x14ac:dyDescent="0.2">
      <c r="A32" s="17">
        <v>21</v>
      </c>
      <c r="B32" s="184" t="s">
        <v>895</v>
      </c>
      <c r="C32" s="322">
        <v>538</v>
      </c>
      <c r="D32" s="320">
        <v>27791</v>
      </c>
      <c r="E32" s="320">
        <v>254</v>
      </c>
      <c r="F32" s="337">
        <f t="shared" si="0"/>
        <v>7058914</v>
      </c>
      <c r="G32" s="320">
        <f>'AT3B_cvrg(Insti)_UPY '!L31+'AT3C_cvrg(Insti)_UPY '!L31</f>
        <v>528</v>
      </c>
      <c r="H32" s="338">
        <f>'enrolment vs availed_UPY'!M31+'enrolment vs availed_UPY'!N31+'enrolment vs availed_UPY'!P31</f>
        <v>6828239</v>
      </c>
      <c r="I32" s="338">
        <v>250</v>
      </c>
      <c r="J32" s="367">
        <f t="shared" si="1"/>
        <v>27312.955999999998</v>
      </c>
    </row>
    <row r="33" spans="1:10" x14ac:dyDescent="0.2">
      <c r="A33" s="17">
        <v>22</v>
      </c>
      <c r="B33" s="184" t="s">
        <v>896</v>
      </c>
      <c r="C33" s="322">
        <v>387</v>
      </c>
      <c r="D33" s="320">
        <v>23738</v>
      </c>
      <c r="E33" s="320">
        <v>254</v>
      </c>
      <c r="F33" s="337">
        <f t="shared" si="0"/>
        <v>6029452</v>
      </c>
      <c r="G33" s="320">
        <f>'AT3B_cvrg(Insti)_UPY '!L32+'AT3C_cvrg(Insti)_UPY '!L32</f>
        <v>383</v>
      </c>
      <c r="H33" s="338">
        <f>'enrolment vs availed_UPY'!M32+'enrolment vs availed_UPY'!N32+'enrolment vs availed_UPY'!P32</f>
        <v>3745492</v>
      </c>
      <c r="I33" s="338">
        <v>250</v>
      </c>
      <c r="J33" s="367">
        <f t="shared" si="1"/>
        <v>14981.968000000001</v>
      </c>
    </row>
    <row r="34" spans="1:10" x14ac:dyDescent="0.2">
      <c r="A34" s="17">
        <v>23</v>
      </c>
      <c r="B34" s="184" t="s">
        <v>897</v>
      </c>
      <c r="C34" s="322">
        <v>674</v>
      </c>
      <c r="D34" s="320">
        <v>40338</v>
      </c>
      <c r="E34" s="320">
        <v>254</v>
      </c>
      <c r="F34" s="337">
        <f t="shared" si="0"/>
        <v>10245852</v>
      </c>
      <c r="G34" s="320">
        <f>'AT3B_cvrg(Insti)_UPY '!L33+'AT3C_cvrg(Insti)_UPY '!L33</f>
        <v>618</v>
      </c>
      <c r="H34" s="338">
        <f>'enrolment vs availed_UPY'!M33+'enrolment vs availed_UPY'!N33+'enrolment vs availed_UPY'!P33</f>
        <v>8402055</v>
      </c>
      <c r="I34" s="338">
        <v>250</v>
      </c>
      <c r="J34" s="367">
        <f t="shared" si="1"/>
        <v>33608.22</v>
      </c>
    </row>
    <row r="35" spans="1:10" x14ac:dyDescent="0.2">
      <c r="A35" s="17">
        <v>24</v>
      </c>
      <c r="B35" s="184" t="s">
        <v>898</v>
      </c>
      <c r="C35" s="322">
        <v>657</v>
      </c>
      <c r="D35" s="320">
        <v>48173</v>
      </c>
      <c r="E35" s="320">
        <v>254</v>
      </c>
      <c r="F35" s="337">
        <f t="shared" si="0"/>
        <v>12235942</v>
      </c>
      <c r="G35" s="320">
        <f>'AT3B_cvrg(Insti)_UPY '!L34+'AT3C_cvrg(Insti)_UPY '!L34</f>
        <v>649</v>
      </c>
      <c r="H35" s="338">
        <f>'enrolment vs availed_UPY'!M34+'enrolment vs availed_UPY'!N34+'enrolment vs availed_UPY'!P34</f>
        <v>14896054</v>
      </c>
      <c r="I35" s="338">
        <v>250</v>
      </c>
      <c r="J35" s="367">
        <f t="shared" si="1"/>
        <v>59584.216</v>
      </c>
    </row>
    <row r="36" spans="1:10" s="339" customFormat="1" x14ac:dyDescent="0.2">
      <c r="A36" s="733" t="s">
        <v>15</v>
      </c>
      <c r="B36" s="735"/>
      <c r="C36" s="324">
        <f>SUM(C12:C35)</f>
        <v>14620</v>
      </c>
      <c r="D36" s="324">
        <f>SUM(D12:D35)</f>
        <v>954152</v>
      </c>
      <c r="E36" s="324"/>
      <c r="F36" s="324">
        <f>SUM(F12:F35)</f>
        <v>242354608</v>
      </c>
      <c r="G36" s="324">
        <f>SUM(G12:G35)</f>
        <v>13935</v>
      </c>
      <c r="H36" s="324">
        <f>SUM(H12:H35)</f>
        <v>213044743</v>
      </c>
      <c r="I36" s="338"/>
      <c r="J36" s="343">
        <f>SUM(J12:J35)</f>
        <v>852178.97200000018</v>
      </c>
    </row>
    <row r="37" spans="1:10" x14ac:dyDescent="0.2">
      <c r="A37" s="11"/>
      <c r="B37" s="29"/>
      <c r="C37" s="29"/>
      <c r="D37" s="20"/>
      <c r="E37" s="20"/>
      <c r="F37" s="20"/>
      <c r="G37" s="20"/>
      <c r="H37" s="20"/>
      <c r="I37" s="20"/>
      <c r="J37" s="20"/>
    </row>
    <row r="38" spans="1:10" x14ac:dyDescent="0.2">
      <c r="A38" s="885" t="s">
        <v>859</v>
      </c>
      <c r="B38" s="885"/>
      <c r="C38" s="885"/>
      <c r="D38" s="885"/>
      <c r="E38" s="885"/>
      <c r="F38" s="885"/>
      <c r="G38" s="885"/>
      <c r="H38" s="885"/>
      <c r="I38" s="20"/>
      <c r="J38" s="20"/>
    </row>
    <row r="39" spans="1:10" x14ac:dyDescent="0.2">
      <c r="A39" s="554"/>
      <c r="B39" s="554"/>
      <c r="C39" s="554"/>
      <c r="D39" s="554"/>
      <c r="E39" s="554"/>
      <c r="F39" s="554"/>
      <c r="G39" s="554"/>
      <c r="H39" s="554"/>
      <c r="I39" s="20"/>
      <c r="J39" s="20"/>
    </row>
    <row r="40" spans="1:10" x14ac:dyDescent="0.2">
      <c r="A40" s="670" t="s">
        <v>11</v>
      </c>
      <c r="B40" s="670"/>
      <c r="C40" s="670"/>
      <c r="D40" s="670"/>
      <c r="E40" s="670"/>
      <c r="F40" s="670"/>
      <c r="G40" s="670"/>
      <c r="H40" s="669"/>
      <c r="I40" s="757" t="s">
        <v>1107</v>
      </c>
      <c r="J40" s="757"/>
    </row>
    <row r="41" spans="1:10" ht="15.75" customHeight="1" x14ac:dyDescent="0.2">
      <c r="A41" s="758" t="s">
        <v>1108</v>
      </c>
      <c r="B41" s="758"/>
      <c r="C41" s="758"/>
      <c r="D41" s="758"/>
      <c r="E41" s="758"/>
      <c r="F41" s="758"/>
      <c r="G41" s="758"/>
      <c r="H41" s="758"/>
      <c r="I41" s="758"/>
      <c r="J41" s="758"/>
    </row>
    <row r="42" spans="1:10" ht="12.75" customHeight="1" x14ac:dyDescent="0.2">
      <c r="A42" s="758" t="s">
        <v>1111</v>
      </c>
      <c r="B42" s="758"/>
      <c r="C42" s="758"/>
      <c r="D42" s="758"/>
      <c r="E42" s="758"/>
      <c r="F42" s="758"/>
      <c r="G42" s="758"/>
      <c r="H42" s="758"/>
      <c r="I42" s="758"/>
      <c r="J42" s="758"/>
    </row>
    <row r="43" spans="1:10" ht="12.75" customHeight="1" x14ac:dyDescent="0.2">
      <c r="A43" s="670"/>
      <c r="B43" s="670"/>
      <c r="C43" s="670"/>
      <c r="D43" s="669"/>
      <c r="E43" s="670"/>
      <c r="F43" s="669"/>
      <c r="G43" s="669"/>
      <c r="H43" s="756" t="s">
        <v>1110</v>
      </c>
      <c r="I43" s="756"/>
      <c r="J43" s="756"/>
    </row>
    <row r="47" spans="1:10" x14ac:dyDescent="0.2">
      <c r="A47" s="886"/>
      <c r="B47" s="886"/>
      <c r="C47" s="886"/>
      <c r="D47" s="886"/>
      <c r="E47" s="886"/>
      <c r="F47" s="886"/>
      <c r="G47" s="886"/>
      <c r="H47" s="886"/>
      <c r="I47" s="886"/>
      <c r="J47" s="886"/>
    </row>
    <row r="49" spans="1:10" x14ac:dyDescent="0.2">
      <c r="A49" s="886"/>
      <c r="B49" s="886"/>
      <c r="C49" s="886"/>
      <c r="D49" s="886"/>
      <c r="E49" s="886"/>
      <c r="F49" s="886"/>
      <c r="G49" s="886"/>
      <c r="H49" s="886"/>
      <c r="I49" s="886"/>
      <c r="J49" s="886"/>
    </row>
  </sheetData>
  <mergeCells count="17">
    <mergeCell ref="E1:I1"/>
    <mergeCell ref="A2:J2"/>
    <mergeCell ref="A3:J3"/>
    <mergeCell ref="A5:J5"/>
    <mergeCell ref="H8:J8"/>
    <mergeCell ref="A9:A10"/>
    <mergeCell ref="B9:B10"/>
    <mergeCell ref="C9:F9"/>
    <mergeCell ref="G9:J9"/>
    <mergeCell ref="A49:J49"/>
    <mergeCell ref="H43:J43"/>
    <mergeCell ref="A38:H38"/>
    <mergeCell ref="A36:B36"/>
    <mergeCell ref="A42:J42"/>
    <mergeCell ref="I40:J40"/>
    <mergeCell ref="A41:J41"/>
    <mergeCell ref="A47:J4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view="pageBreakPreview" topLeftCell="A15" zoomScale="90" zoomScaleNormal="100" zoomScaleSheetLayoutView="90" workbookViewId="0">
      <selection activeCell="A40" sqref="A40:J43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2.140625" style="15" customWidth="1"/>
    <col min="4" max="4" width="11.85546875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7.85546875" style="15" customWidth="1"/>
    <col min="11" max="16384" width="9.140625" style="15"/>
  </cols>
  <sheetData>
    <row r="1" spans="1:16" customFormat="1" x14ac:dyDescent="0.2">
      <c r="E1" s="792"/>
      <c r="F1" s="792"/>
      <c r="G1" s="792"/>
      <c r="H1" s="792"/>
      <c r="I1" s="792"/>
      <c r="J1" s="133" t="s">
        <v>356</v>
      </c>
    </row>
    <row r="2" spans="1:16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6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</row>
    <row r="4" spans="1:16" customFormat="1" ht="14.25" customHeight="1" x14ac:dyDescent="0.2"/>
    <row r="5" spans="1:16" ht="19.5" customHeight="1" x14ac:dyDescent="0.25">
      <c r="A5" s="880" t="s">
        <v>742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6" x14ac:dyDescent="0.2">
      <c r="A8" s="33" t="s">
        <v>1098</v>
      </c>
      <c r="B8" s="598"/>
      <c r="C8" s="30"/>
      <c r="H8" s="870" t="s">
        <v>770</v>
      </c>
      <c r="I8" s="870"/>
      <c r="J8" s="870"/>
    </row>
    <row r="9" spans="1:16" x14ac:dyDescent="0.2">
      <c r="A9" s="775" t="s">
        <v>1</v>
      </c>
      <c r="B9" s="775" t="s">
        <v>2</v>
      </c>
      <c r="C9" s="733" t="s">
        <v>743</v>
      </c>
      <c r="D9" s="734"/>
      <c r="E9" s="734"/>
      <c r="F9" s="735"/>
      <c r="G9" s="733" t="s">
        <v>98</v>
      </c>
      <c r="H9" s="734"/>
      <c r="I9" s="734"/>
      <c r="J9" s="735"/>
      <c r="O9" s="18"/>
      <c r="P9" s="20"/>
    </row>
    <row r="10" spans="1:16" ht="77.45" customHeight="1" x14ac:dyDescent="0.2">
      <c r="A10" s="775"/>
      <c r="B10" s="775"/>
      <c r="C10" s="5" t="s">
        <v>176</v>
      </c>
      <c r="D10" s="5" t="s">
        <v>13</v>
      </c>
      <c r="E10" s="7" t="s">
        <v>771</v>
      </c>
      <c r="F10" s="7" t="s">
        <v>193</v>
      </c>
      <c r="G10" s="5" t="s">
        <v>176</v>
      </c>
      <c r="H10" s="24" t="s">
        <v>14</v>
      </c>
      <c r="I10" s="98" t="s">
        <v>857</v>
      </c>
      <c r="J10" s="5" t="s">
        <v>1106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">
      <c r="A12" s="17">
        <v>1</v>
      </c>
      <c r="B12" s="184" t="s">
        <v>875</v>
      </c>
      <c r="C12" s="320">
        <v>28</v>
      </c>
      <c r="D12" s="320">
        <v>668</v>
      </c>
      <c r="E12" s="320">
        <v>312</v>
      </c>
      <c r="F12" s="337">
        <f>D12*E12</f>
        <v>208416</v>
      </c>
      <c r="G12" s="320">
        <f>'AT3A_cvrg(Insti)_PY'!J12</f>
        <v>28</v>
      </c>
      <c r="H12" s="338">
        <f>'enrolment vs availed_PY'!O11</f>
        <v>139838</v>
      </c>
      <c r="I12" s="338">
        <v>256</v>
      </c>
      <c r="J12" s="367">
        <f>H12/I12</f>
        <v>546.2421875</v>
      </c>
      <c r="L12" s="15">
        <v>251</v>
      </c>
    </row>
    <row r="13" spans="1:16" x14ac:dyDescent="0.2">
      <c r="A13" s="17">
        <v>2</v>
      </c>
      <c r="B13" s="184" t="s">
        <v>876</v>
      </c>
      <c r="C13" s="320">
        <v>0</v>
      </c>
      <c r="D13" s="320">
        <v>0</v>
      </c>
      <c r="E13" s="320">
        <v>312</v>
      </c>
      <c r="F13" s="337">
        <f t="shared" ref="F13:F35" si="0">D13*E13</f>
        <v>0</v>
      </c>
      <c r="G13" s="320">
        <f>'AT3A_cvrg(Insti)_PY'!J13</f>
        <v>0</v>
      </c>
      <c r="H13" s="338">
        <f>'enrolment vs availed_PY'!O12</f>
        <v>0</v>
      </c>
      <c r="I13" s="338">
        <v>256</v>
      </c>
      <c r="J13" s="367">
        <v>0</v>
      </c>
      <c r="L13" s="15">
        <v>0</v>
      </c>
    </row>
    <row r="14" spans="1:16" x14ac:dyDescent="0.2">
      <c r="A14" s="17">
        <v>3</v>
      </c>
      <c r="B14" s="184" t="s">
        <v>877</v>
      </c>
      <c r="C14" s="320">
        <v>0</v>
      </c>
      <c r="D14" s="320">
        <v>0</v>
      </c>
      <c r="E14" s="320">
        <v>312</v>
      </c>
      <c r="F14" s="337">
        <f t="shared" si="0"/>
        <v>0</v>
      </c>
      <c r="G14" s="320">
        <f>'AT3A_cvrg(Insti)_PY'!J14</f>
        <v>0</v>
      </c>
      <c r="H14" s="338">
        <f>'enrolment vs availed_PY'!O13</f>
        <v>0</v>
      </c>
      <c r="I14" s="338">
        <v>256</v>
      </c>
      <c r="J14" s="367">
        <v>0</v>
      </c>
      <c r="L14" s="15">
        <v>0</v>
      </c>
    </row>
    <row r="15" spans="1:16" x14ac:dyDescent="0.2">
      <c r="A15" s="17">
        <v>4</v>
      </c>
      <c r="B15" s="184" t="s">
        <v>878</v>
      </c>
      <c r="C15" s="320">
        <v>0</v>
      </c>
      <c r="D15" s="320">
        <v>0</v>
      </c>
      <c r="E15" s="320">
        <v>312</v>
      </c>
      <c r="F15" s="337">
        <f t="shared" si="0"/>
        <v>0</v>
      </c>
      <c r="G15" s="320">
        <f>'AT3A_cvrg(Insti)_PY'!J15</f>
        <v>0</v>
      </c>
      <c r="H15" s="338">
        <f>'enrolment vs availed_PY'!O14</f>
        <v>0</v>
      </c>
      <c r="I15" s="338">
        <v>256</v>
      </c>
      <c r="J15" s="367">
        <v>0</v>
      </c>
      <c r="L15" s="15">
        <v>0</v>
      </c>
    </row>
    <row r="16" spans="1:16" x14ac:dyDescent="0.2">
      <c r="A16" s="17">
        <v>5</v>
      </c>
      <c r="B16" s="184" t="s">
        <v>879</v>
      </c>
      <c r="C16" s="320">
        <v>0</v>
      </c>
      <c r="D16" s="320">
        <v>0</v>
      </c>
      <c r="E16" s="320">
        <v>312</v>
      </c>
      <c r="F16" s="337">
        <f t="shared" si="0"/>
        <v>0</v>
      </c>
      <c r="G16" s="320">
        <f>'AT3A_cvrg(Insti)_PY'!J16</f>
        <v>0</v>
      </c>
      <c r="H16" s="338">
        <f>'enrolment vs availed_PY'!O15</f>
        <v>0</v>
      </c>
      <c r="I16" s="338">
        <v>256</v>
      </c>
      <c r="J16" s="367">
        <v>0</v>
      </c>
      <c r="L16" s="15">
        <v>0</v>
      </c>
    </row>
    <row r="17" spans="1:12" x14ac:dyDescent="0.2">
      <c r="A17" s="17">
        <v>6</v>
      </c>
      <c r="B17" s="184" t="s">
        <v>880</v>
      </c>
      <c r="C17" s="320">
        <v>0</v>
      </c>
      <c r="D17" s="320">
        <v>0</v>
      </c>
      <c r="E17" s="320">
        <v>312</v>
      </c>
      <c r="F17" s="337">
        <f t="shared" si="0"/>
        <v>0</v>
      </c>
      <c r="G17" s="320">
        <f>'AT3A_cvrg(Insti)_PY'!J17</f>
        <v>0</v>
      </c>
      <c r="H17" s="338">
        <f>'enrolment vs availed_PY'!O16</f>
        <v>0</v>
      </c>
      <c r="I17" s="338">
        <v>256</v>
      </c>
      <c r="J17" s="367">
        <v>0</v>
      </c>
      <c r="L17" s="15">
        <v>0</v>
      </c>
    </row>
    <row r="18" spans="1:12" x14ac:dyDescent="0.2">
      <c r="A18" s="17">
        <v>7</v>
      </c>
      <c r="B18" s="184" t="s">
        <v>881</v>
      </c>
      <c r="C18" s="320">
        <v>0</v>
      </c>
      <c r="D18" s="320">
        <v>0</v>
      </c>
      <c r="E18" s="320">
        <v>312</v>
      </c>
      <c r="F18" s="337">
        <f t="shared" si="0"/>
        <v>0</v>
      </c>
      <c r="G18" s="320">
        <f>'AT3A_cvrg(Insti)_PY'!J18</f>
        <v>0</v>
      </c>
      <c r="H18" s="338">
        <f>'enrolment vs availed_PY'!O17</f>
        <v>0</v>
      </c>
      <c r="I18" s="338">
        <v>256</v>
      </c>
      <c r="J18" s="367">
        <v>0</v>
      </c>
      <c r="L18" s="15">
        <v>0</v>
      </c>
    </row>
    <row r="19" spans="1:12" x14ac:dyDescent="0.2">
      <c r="A19" s="17">
        <v>8</v>
      </c>
      <c r="B19" s="184" t="s">
        <v>882</v>
      </c>
      <c r="C19" s="320">
        <v>31</v>
      </c>
      <c r="D19" s="320">
        <v>899</v>
      </c>
      <c r="E19" s="320">
        <v>312</v>
      </c>
      <c r="F19" s="337">
        <f t="shared" si="0"/>
        <v>280488</v>
      </c>
      <c r="G19" s="320">
        <f>'AT3A_cvrg(Insti)_PY'!J19</f>
        <v>26</v>
      </c>
      <c r="H19" s="338">
        <f>'enrolment vs availed_PY'!O18</f>
        <v>105228</v>
      </c>
      <c r="I19" s="338">
        <v>256</v>
      </c>
      <c r="J19" s="367">
        <f>H19/I19</f>
        <v>411.046875</v>
      </c>
      <c r="L19" s="15">
        <v>311</v>
      </c>
    </row>
    <row r="20" spans="1:12" x14ac:dyDescent="0.2">
      <c r="A20" s="17">
        <v>9</v>
      </c>
      <c r="B20" s="184" t="s">
        <v>883</v>
      </c>
      <c r="C20" s="320">
        <v>0</v>
      </c>
      <c r="D20" s="320">
        <v>0</v>
      </c>
      <c r="E20" s="320">
        <v>312</v>
      </c>
      <c r="F20" s="337">
        <f t="shared" si="0"/>
        <v>0</v>
      </c>
      <c r="G20" s="320">
        <f>'AT3A_cvrg(Insti)_PY'!J20</f>
        <v>0</v>
      </c>
      <c r="H20" s="338">
        <f>'enrolment vs availed_PY'!O19</f>
        <v>0</v>
      </c>
      <c r="I20" s="338">
        <v>256</v>
      </c>
      <c r="J20" s="367">
        <v>0</v>
      </c>
      <c r="L20" s="15">
        <v>0</v>
      </c>
    </row>
    <row r="21" spans="1:12" x14ac:dyDescent="0.2">
      <c r="A21" s="17">
        <v>10</v>
      </c>
      <c r="B21" s="184" t="s">
        <v>884</v>
      </c>
      <c r="C21" s="320">
        <v>0</v>
      </c>
      <c r="D21" s="320">
        <v>0</v>
      </c>
      <c r="E21" s="320">
        <v>312</v>
      </c>
      <c r="F21" s="337">
        <f t="shared" si="0"/>
        <v>0</v>
      </c>
      <c r="G21" s="320">
        <f>'AT3A_cvrg(Insti)_PY'!J21</f>
        <v>0</v>
      </c>
      <c r="H21" s="338">
        <f>'enrolment vs availed_PY'!O20</f>
        <v>0</v>
      </c>
      <c r="I21" s="338">
        <v>256</v>
      </c>
      <c r="J21" s="367">
        <v>0</v>
      </c>
      <c r="L21" s="15">
        <v>0</v>
      </c>
    </row>
    <row r="22" spans="1:12" x14ac:dyDescent="0.2">
      <c r="A22" s="17">
        <v>11</v>
      </c>
      <c r="B22" s="184" t="s">
        <v>885</v>
      </c>
      <c r="C22" s="320">
        <v>25</v>
      </c>
      <c r="D22" s="320">
        <v>1022</v>
      </c>
      <c r="E22" s="320">
        <v>312</v>
      </c>
      <c r="F22" s="337">
        <f t="shared" si="0"/>
        <v>318864</v>
      </c>
      <c r="G22" s="320">
        <f>'AT3A_cvrg(Insti)_PY'!J22</f>
        <v>25</v>
      </c>
      <c r="H22" s="338">
        <f>'enrolment vs availed_PY'!O21</f>
        <v>216158</v>
      </c>
      <c r="I22" s="338">
        <v>256</v>
      </c>
      <c r="J22" s="367">
        <f>H22/I22</f>
        <v>844.3671875</v>
      </c>
      <c r="L22" s="15">
        <v>302</v>
      </c>
    </row>
    <row r="23" spans="1:12" x14ac:dyDescent="0.2">
      <c r="A23" s="17">
        <v>12</v>
      </c>
      <c r="B23" s="241" t="s">
        <v>886</v>
      </c>
      <c r="C23" s="320">
        <v>12</v>
      </c>
      <c r="D23" s="320">
        <v>539</v>
      </c>
      <c r="E23" s="320">
        <v>312</v>
      </c>
      <c r="F23" s="337">
        <f t="shared" si="0"/>
        <v>168168</v>
      </c>
      <c r="G23" s="320">
        <f>'AT3A_cvrg(Insti)_PY'!J23</f>
        <v>12</v>
      </c>
      <c r="H23" s="338">
        <f>'enrolment vs availed_PY'!O22</f>
        <v>118515</v>
      </c>
      <c r="I23" s="338">
        <v>256</v>
      </c>
      <c r="J23" s="367">
        <f>H23/I23</f>
        <v>462.94921875</v>
      </c>
      <c r="L23" s="15">
        <v>302</v>
      </c>
    </row>
    <row r="24" spans="1:12" x14ac:dyDescent="0.2">
      <c r="A24" s="17">
        <v>13</v>
      </c>
      <c r="B24" s="184" t="s">
        <v>887</v>
      </c>
      <c r="C24" s="320">
        <v>0</v>
      </c>
      <c r="D24" s="320">
        <v>0</v>
      </c>
      <c r="E24" s="320">
        <v>312</v>
      </c>
      <c r="F24" s="337">
        <f t="shared" si="0"/>
        <v>0</v>
      </c>
      <c r="G24" s="320">
        <f>'AT3A_cvrg(Insti)_PY'!J24</f>
        <v>0</v>
      </c>
      <c r="H24" s="338">
        <f>'enrolment vs availed_PY'!O23</f>
        <v>0</v>
      </c>
      <c r="I24" s="338">
        <v>256</v>
      </c>
      <c r="J24" s="367">
        <v>0</v>
      </c>
      <c r="L24" s="15">
        <v>0</v>
      </c>
    </row>
    <row r="25" spans="1:12" x14ac:dyDescent="0.2">
      <c r="A25" s="17">
        <v>14</v>
      </c>
      <c r="B25" s="184" t="s">
        <v>888</v>
      </c>
      <c r="C25" s="320">
        <v>0</v>
      </c>
      <c r="D25" s="320">
        <v>0</v>
      </c>
      <c r="E25" s="320">
        <v>312</v>
      </c>
      <c r="F25" s="337">
        <f t="shared" si="0"/>
        <v>0</v>
      </c>
      <c r="G25" s="320">
        <f>'AT3A_cvrg(Insti)_PY'!J25</f>
        <v>0</v>
      </c>
      <c r="H25" s="338">
        <f>'enrolment vs availed_PY'!O24</f>
        <v>0</v>
      </c>
      <c r="I25" s="338">
        <v>256</v>
      </c>
      <c r="J25" s="367">
        <v>0</v>
      </c>
      <c r="L25" s="15">
        <v>0</v>
      </c>
    </row>
    <row r="26" spans="1:12" x14ac:dyDescent="0.2">
      <c r="A26" s="17">
        <v>15</v>
      </c>
      <c r="B26" s="184" t="s">
        <v>889</v>
      </c>
      <c r="C26" s="322">
        <v>0</v>
      </c>
      <c r="D26" s="322">
        <v>0</v>
      </c>
      <c r="E26" s="320">
        <v>312</v>
      </c>
      <c r="F26" s="337">
        <f t="shared" si="0"/>
        <v>0</v>
      </c>
      <c r="G26" s="320">
        <f>'AT3A_cvrg(Insti)_PY'!J26</f>
        <v>0</v>
      </c>
      <c r="H26" s="338">
        <f>'enrolment vs availed_PY'!O25</f>
        <v>0</v>
      </c>
      <c r="I26" s="338">
        <v>256</v>
      </c>
      <c r="J26" s="367">
        <v>0</v>
      </c>
      <c r="L26" s="15">
        <v>0</v>
      </c>
    </row>
    <row r="27" spans="1:12" x14ac:dyDescent="0.2">
      <c r="A27" s="17">
        <v>16</v>
      </c>
      <c r="B27" s="184" t="s">
        <v>890</v>
      </c>
      <c r="C27" s="322">
        <v>0</v>
      </c>
      <c r="D27" s="322">
        <v>0</v>
      </c>
      <c r="E27" s="320">
        <v>312</v>
      </c>
      <c r="F27" s="337">
        <f t="shared" si="0"/>
        <v>0</v>
      </c>
      <c r="G27" s="320">
        <f>'AT3A_cvrg(Insti)_PY'!J27</f>
        <v>0</v>
      </c>
      <c r="H27" s="338">
        <f>'enrolment vs availed_PY'!O26</f>
        <v>0</v>
      </c>
      <c r="I27" s="338">
        <v>256</v>
      </c>
      <c r="J27" s="367">
        <v>0</v>
      </c>
      <c r="L27" s="15">
        <v>0</v>
      </c>
    </row>
    <row r="28" spans="1:12" x14ac:dyDescent="0.2">
      <c r="A28" s="17">
        <v>17</v>
      </c>
      <c r="B28" s="184" t="s">
        <v>891</v>
      </c>
      <c r="C28" s="322">
        <v>0</v>
      </c>
      <c r="D28" s="322">
        <v>0</v>
      </c>
      <c r="E28" s="320">
        <v>312</v>
      </c>
      <c r="F28" s="337">
        <f t="shared" si="0"/>
        <v>0</v>
      </c>
      <c r="G28" s="320">
        <f>'AT3A_cvrg(Insti)_PY'!J28</f>
        <v>0</v>
      </c>
      <c r="H28" s="338">
        <f>'enrolment vs availed_PY'!O27</f>
        <v>0</v>
      </c>
      <c r="I28" s="338">
        <v>256</v>
      </c>
      <c r="J28" s="367">
        <v>0</v>
      </c>
      <c r="L28" s="15">
        <v>0</v>
      </c>
    </row>
    <row r="29" spans="1:12" x14ac:dyDescent="0.2">
      <c r="A29" s="17">
        <v>18</v>
      </c>
      <c r="B29" s="184" t="s">
        <v>892</v>
      </c>
      <c r="C29" s="322">
        <v>0</v>
      </c>
      <c r="D29" s="322">
        <v>0</v>
      </c>
      <c r="E29" s="320">
        <v>312</v>
      </c>
      <c r="F29" s="337">
        <f t="shared" si="0"/>
        <v>0</v>
      </c>
      <c r="G29" s="320">
        <f>'AT3A_cvrg(Insti)_PY'!J29</f>
        <v>0</v>
      </c>
      <c r="H29" s="338">
        <f>'enrolment vs availed_PY'!O28</f>
        <v>0</v>
      </c>
      <c r="I29" s="338">
        <v>256</v>
      </c>
      <c r="J29" s="367">
        <v>0</v>
      </c>
      <c r="L29" s="15">
        <v>0</v>
      </c>
    </row>
    <row r="30" spans="1:12" x14ac:dyDescent="0.2">
      <c r="A30" s="17">
        <v>19</v>
      </c>
      <c r="B30" s="184" t="s">
        <v>893</v>
      </c>
      <c r="C30" s="322">
        <v>26</v>
      </c>
      <c r="D30" s="322">
        <v>804</v>
      </c>
      <c r="E30" s="320">
        <v>312</v>
      </c>
      <c r="F30" s="337">
        <f t="shared" si="0"/>
        <v>250848</v>
      </c>
      <c r="G30" s="320">
        <f>'AT3A_cvrg(Insti)_PY'!J30</f>
        <v>26</v>
      </c>
      <c r="H30" s="338">
        <f>'enrolment vs availed_PY'!O29</f>
        <v>110642</v>
      </c>
      <c r="I30" s="338">
        <v>256</v>
      </c>
      <c r="J30" s="367">
        <f>H30/I30</f>
        <v>432.1953125</v>
      </c>
      <c r="L30" s="15">
        <v>302</v>
      </c>
    </row>
    <row r="31" spans="1:12" x14ac:dyDescent="0.2">
      <c r="A31" s="17">
        <v>20</v>
      </c>
      <c r="B31" s="184" t="s">
        <v>894</v>
      </c>
      <c r="C31" s="322">
        <v>0</v>
      </c>
      <c r="D31" s="322">
        <v>0</v>
      </c>
      <c r="E31" s="320">
        <v>312</v>
      </c>
      <c r="F31" s="337">
        <f t="shared" si="0"/>
        <v>0</v>
      </c>
      <c r="G31" s="320">
        <f>'AT3A_cvrg(Insti)_PY'!J31</f>
        <v>0</v>
      </c>
      <c r="H31" s="338">
        <f>'enrolment vs availed_PY'!O30</f>
        <v>0</v>
      </c>
      <c r="I31" s="338">
        <v>256</v>
      </c>
      <c r="J31" s="367">
        <v>0</v>
      </c>
      <c r="L31" s="15">
        <v>0</v>
      </c>
    </row>
    <row r="32" spans="1:12" x14ac:dyDescent="0.2">
      <c r="A32" s="17">
        <v>21</v>
      </c>
      <c r="B32" s="184" t="s">
        <v>895</v>
      </c>
      <c r="C32" s="322">
        <v>7</v>
      </c>
      <c r="D32" s="322">
        <v>350</v>
      </c>
      <c r="E32" s="320">
        <v>312</v>
      </c>
      <c r="F32" s="337">
        <f t="shared" si="0"/>
        <v>109200</v>
      </c>
      <c r="G32" s="320">
        <f>'AT3A_cvrg(Insti)_PY'!J32</f>
        <v>0</v>
      </c>
      <c r="H32" s="338">
        <f>'enrolment vs availed_PY'!O31</f>
        <v>42067</v>
      </c>
      <c r="I32" s="338">
        <v>256</v>
      </c>
      <c r="J32" s="367">
        <f>H32/I32</f>
        <v>164.32421875</v>
      </c>
      <c r="L32" s="15">
        <v>302</v>
      </c>
    </row>
    <row r="33" spans="1:12" x14ac:dyDescent="0.2">
      <c r="A33" s="17">
        <v>22</v>
      </c>
      <c r="B33" s="184" t="s">
        <v>896</v>
      </c>
      <c r="C33" s="322">
        <v>19</v>
      </c>
      <c r="D33" s="322">
        <v>412</v>
      </c>
      <c r="E33" s="320">
        <v>312</v>
      </c>
      <c r="F33" s="337">
        <f t="shared" si="0"/>
        <v>128544</v>
      </c>
      <c r="G33" s="320">
        <f>'AT3A_cvrg(Insti)_PY'!J33</f>
        <v>19</v>
      </c>
      <c r="H33" s="338">
        <f>'enrolment vs availed_PY'!O32</f>
        <v>11408</v>
      </c>
      <c r="I33" s="338">
        <v>256</v>
      </c>
      <c r="J33" s="367">
        <f>H33/I33</f>
        <v>44.5625</v>
      </c>
      <c r="L33" s="15">
        <v>23</v>
      </c>
    </row>
    <row r="34" spans="1:12" x14ac:dyDescent="0.2">
      <c r="A34" s="17">
        <v>23</v>
      </c>
      <c r="B34" s="184" t="s">
        <v>897</v>
      </c>
      <c r="C34" s="322">
        <v>0</v>
      </c>
      <c r="D34" s="322">
        <v>0</v>
      </c>
      <c r="E34" s="320">
        <v>312</v>
      </c>
      <c r="F34" s="337">
        <f t="shared" si="0"/>
        <v>0</v>
      </c>
      <c r="G34" s="320">
        <f>'AT3A_cvrg(Insti)_PY'!J34</f>
        <v>0</v>
      </c>
      <c r="H34" s="338">
        <f>'enrolment vs availed_PY'!O33</f>
        <v>0</v>
      </c>
      <c r="I34" s="338">
        <v>256</v>
      </c>
      <c r="J34" s="367">
        <v>0</v>
      </c>
      <c r="L34" s="15">
        <v>0</v>
      </c>
    </row>
    <row r="35" spans="1:12" x14ac:dyDescent="0.2">
      <c r="A35" s="17">
        <v>24</v>
      </c>
      <c r="B35" s="184" t="s">
        <v>898</v>
      </c>
      <c r="C35" s="322">
        <v>0</v>
      </c>
      <c r="D35" s="322">
        <v>0</v>
      </c>
      <c r="E35" s="320">
        <v>312</v>
      </c>
      <c r="F35" s="337">
        <f t="shared" si="0"/>
        <v>0</v>
      </c>
      <c r="G35" s="320">
        <f>'AT3A_cvrg(Insti)_PY'!J35</f>
        <v>0</v>
      </c>
      <c r="H35" s="338">
        <f>'enrolment vs availed_PY'!O34</f>
        <v>0</v>
      </c>
      <c r="I35" s="338">
        <v>256</v>
      </c>
      <c r="J35" s="367">
        <v>0</v>
      </c>
      <c r="L35" s="15">
        <v>0</v>
      </c>
    </row>
    <row r="36" spans="1:12" x14ac:dyDescent="0.2">
      <c r="A36" s="3" t="s">
        <v>15</v>
      </c>
      <c r="B36" s="28"/>
      <c r="C36" s="324">
        <f>SUM(C12:C35)</f>
        <v>148</v>
      </c>
      <c r="D36" s="324">
        <f t="shared" ref="D36:J36" si="1">SUM(D12:D35)</f>
        <v>4694</v>
      </c>
      <c r="E36" s="324"/>
      <c r="F36" s="324">
        <f t="shared" si="1"/>
        <v>1464528</v>
      </c>
      <c r="G36" s="324">
        <f t="shared" si="1"/>
        <v>136</v>
      </c>
      <c r="H36" s="324">
        <f t="shared" si="1"/>
        <v>743856</v>
      </c>
      <c r="I36" s="324"/>
      <c r="J36" s="343">
        <f t="shared" si="1"/>
        <v>2905.6875</v>
      </c>
    </row>
    <row r="37" spans="1:12" x14ac:dyDescent="0.2">
      <c r="A37" s="11"/>
      <c r="B37" s="29"/>
      <c r="C37" s="29"/>
      <c r="D37" s="20"/>
      <c r="E37" s="20"/>
      <c r="F37" s="20"/>
      <c r="G37" s="20"/>
      <c r="H37" s="20"/>
      <c r="I37" s="20"/>
      <c r="J37" s="20"/>
    </row>
    <row r="38" spans="1:12" x14ac:dyDescent="0.2">
      <c r="A38" s="885" t="s">
        <v>859</v>
      </c>
      <c r="B38" s="885"/>
      <c r="C38" s="885"/>
      <c r="D38" s="885"/>
      <c r="E38" s="885"/>
      <c r="F38" s="885"/>
      <c r="G38" s="885"/>
      <c r="H38" s="885"/>
      <c r="I38" s="449"/>
      <c r="J38" s="20"/>
    </row>
    <row r="39" spans="1:12" x14ac:dyDescent="0.2">
      <c r="A39" s="11"/>
      <c r="B39" s="29"/>
      <c r="C39" s="29"/>
      <c r="D39" s="20"/>
      <c r="E39" s="20"/>
      <c r="F39" s="20"/>
      <c r="G39" s="20"/>
      <c r="H39" s="20"/>
      <c r="I39" s="20"/>
      <c r="J39" s="20"/>
    </row>
    <row r="40" spans="1:12" ht="15.75" customHeight="1" x14ac:dyDescent="0.2">
      <c r="A40" s="670" t="s">
        <v>11</v>
      </c>
      <c r="B40" s="670"/>
      <c r="C40" s="670"/>
      <c r="D40" s="670"/>
      <c r="E40" s="670"/>
      <c r="F40" s="670"/>
      <c r="G40" s="670"/>
      <c r="H40" s="669"/>
      <c r="I40" s="757" t="s">
        <v>1107</v>
      </c>
      <c r="J40" s="757"/>
    </row>
    <row r="41" spans="1:12" ht="12.75" customHeight="1" x14ac:dyDescent="0.2">
      <c r="A41" s="758" t="s">
        <v>1108</v>
      </c>
      <c r="B41" s="758"/>
      <c r="C41" s="758"/>
      <c r="D41" s="758"/>
      <c r="E41" s="758"/>
      <c r="F41" s="758"/>
      <c r="G41" s="758"/>
      <c r="H41" s="758"/>
      <c r="I41" s="758"/>
      <c r="J41" s="758"/>
    </row>
    <row r="42" spans="1:12" ht="12.75" customHeight="1" x14ac:dyDescent="0.2">
      <c r="A42" s="758" t="s">
        <v>1111</v>
      </c>
      <c r="B42" s="758"/>
      <c r="C42" s="758"/>
      <c r="D42" s="758"/>
      <c r="E42" s="758"/>
      <c r="F42" s="758"/>
      <c r="G42" s="758"/>
      <c r="H42" s="758"/>
      <c r="I42" s="758"/>
      <c r="J42" s="758"/>
    </row>
    <row r="43" spans="1:12" ht="13.15" customHeight="1" x14ac:dyDescent="0.2">
      <c r="A43" s="670"/>
      <c r="B43" s="670"/>
      <c r="C43" s="670"/>
      <c r="D43" s="669"/>
      <c r="E43" s="670"/>
      <c r="F43" s="669"/>
      <c r="G43" s="669"/>
      <c r="H43" s="756" t="s">
        <v>1110</v>
      </c>
      <c r="I43" s="756"/>
      <c r="J43" s="756"/>
    </row>
    <row r="47" spans="1:12" x14ac:dyDescent="0.2">
      <c r="A47" s="886"/>
      <c r="B47" s="886"/>
      <c r="C47" s="886"/>
      <c r="D47" s="886"/>
      <c r="E47" s="886"/>
      <c r="F47" s="886"/>
      <c r="G47" s="886"/>
      <c r="H47" s="886"/>
      <c r="I47" s="886"/>
      <c r="J47" s="886"/>
    </row>
    <row r="49" spans="1:10" x14ac:dyDescent="0.2">
      <c r="A49" s="886"/>
      <c r="B49" s="886"/>
      <c r="C49" s="886"/>
      <c r="D49" s="886"/>
      <c r="E49" s="886"/>
      <c r="F49" s="886"/>
      <c r="G49" s="886"/>
      <c r="H49" s="886"/>
      <c r="I49" s="886"/>
      <c r="J49" s="886"/>
    </row>
  </sheetData>
  <mergeCells count="16">
    <mergeCell ref="A49:J49"/>
    <mergeCell ref="A9:A10"/>
    <mergeCell ref="B9:B10"/>
    <mergeCell ref="C9:F9"/>
    <mergeCell ref="G9:J9"/>
    <mergeCell ref="A38:H38"/>
    <mergeCell ref="A42:J42"/>
    <mergeCell ref="H43:J43"/>
    <mergeCell ref="I40:J40"/>
    <mergeCell ref="A41:J41"/>
    <mergeCell ref="E1:I1"/>
    <mergeCell ref="A2:J2"/>
    <mergeCell ref="A3:J3"/>
    <mergeCell ref="A5:J5"/>
    <mergeCell ref="H8:J8"/>
    <mergeCell ref="A47:J47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topLeftCell="A13" zoomScale="90" zoomScaleNormal="100" zoomScaleSheetLayoutView="90" workbookViewId="0">
      <selection activeCell="A41" sqref="A41:J44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2.28515625" style="15" customWidth="1"/>
    <col min="4" max="4" width="12.42578125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792"/>
      <c r="F1" s="792"/>
      <c r="G1" s="792"/>
      <c r="H1" s="792"/>
      <c r="I1" s="792"/>
      <c r="J1" s="133" t="s">
        <v>355</v>
      </c>
    </row>
    <row r="2" spans="1:16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6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</row>
    <row r="4" spans="1:16" customFormat="1" ht="14.25" customHeight="1" x14ac:dyDescent="0.2"/>
    <row r="5" spans="1:16" ht="31.5" customHeight="1" x14ac:dyDescent="0.25">
      <c r="A5" s="880" t="s">
        <v>744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6" x14ac:dyDescent="0.2">
      <c r="A8" s="33" t="s">
        <v>1098</v>
      </c>
      <c r="B8" s="598"/>
      <c r="C8" s="30"/>
      <c r="H8" s="870" t="s">
        <v>770</v>
      </c>
      <c r="I8" s="870"/>
      <c r="J8" s="870"/>
    </row>
    <row r="9" spans="1:16" x14ac:dyDescent="0.2">
      <c r="A9" s="775" t="s">
        <v>1</v>
      </c>
      <c r="B9" s="775" t="s">
        <v>2</v>
      </c>
      <c r="C9" s="733" t="s">
        <v>740</v>
      </c>
      <c r="D9" s="734"/>
      <c r="E9" s="734"/>
      <c r="F9" s="735"/>
      <c r="G9" s="733" t="s">
        <v>98</v>
      </c>
      <c r="H9" s="734"/>
      <c r="I9" s="734"/>
      <c r="J9" s="735"/>
      <c r="O9" s="18"/>
      <c r="P9" s="20"/>
    </row>
    <row r="10" spans="1:16" ht="53.25" customHeight="1" x14ac:dyDescent="0.2">
      <c r="A10" s="775"/>
      <c r="B10" s="775"/>
      <c r="C10" s="5" t="s">
        <v>176</v>
      </c>
      <c r="D10" s="5" t="s">
        <v>13</v>
      </c>
      <c r="E10" s="227" t="s">
        <v>357</v>
      </c>
      <c r="F10" s="7" t="s">
        <v>193</v>
      </c>
      <c r="G10" s="5" t="s">
        <v>176</v>
      </c>
      <c r="H10" s="24" t="s">
        <v>14</v>
      </c>
      <c r="I10" s="98" t="s">
        <v>857</v>
      </c>
      <c r="J10" s="5" t="s">
        <v>858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">
      <c r="A12" s="17">
        <v>1</v>
      </c>
      <c r="B12" s="184" t="s">
        <v>875</v>
      </c>
      <c r="C12" s="887" t="s">
        <v>918</v>
      </c>
      <c r="D12" s="888"/>
      <c r="E12" s="888"/>
      <c r="F12" s="888"/>
      <c r="G12" s="888"/>
      <c r="H12" s="888"/>
      <c r="I12" s="888"/>
      <c r="J12" s="889"/>
    </row>
    <row r="13" spans="1:16" x14ac:dyDescent="0.2">
      <c r="A13" s="17">
        <v>2</v>
      </c>
      <c r="B13" s="184" t="s">
        <v>876</v>
      </c>
      <c r="C13" s="890"/>
      <c r="D13" s="891"/>
      <c r="E13" s="891"/>
      <c r="F13" s="891"/>
      <c r="G13" s="891"/>
      <c r="H13" s="891"/>
      <c r="I13" s="891"/>
      <c r="J13" s="892"/>
    </row>
    <row r="14" spans="1:16" x14ac:dyDescent="0.2">
      <c r="A14" s="17">
        <v>3</v>
      </c>
      <c r="B14" s="184" t="s">
        <v>877</v>
      </c>
      <c r="C14" s="890"/>
      <c r="D14" s="891"/>
      <c r="E14" s="891"/>
      <c r="F14" s="891"/>
      <c r="G14" s="891"/>
      <c r="H14" s="891"/>
      <c r="I14" s="891"/>
      <c r="J14" s="892"/>
    </row>
    <row r="15" spans="1:16" x14ac:dyDescent="0.2">
      <c r="A15" s="17">
        <v>4</v>
      </c>
      <c r="B15" s="184" t="s">
        <v>878</v>
      </c>
      <c r="C15" s="890"/>
      <c r="D15" s="891"/>
      <c r="E15" s="891"/>
      <c r="F15" s="891"/>
      <c r="G15" s="891"/>
      <c r="H15" s="891"/>
      <c r="I15" s="891"/>
      <c r="J15" s="892"/>
    </row>
    <row r="16" spans="1:16" x14ac:dyDescent="0.2">
      <c r="A16" s="17">
        <v>5</v>
      </c>
      <c r="B16" s="184" t="s">
        <v>879</v>
      </c>
      <c r="C16" s="890"/>
      <c r="D16" s="891"/>
      <c r="E16" s="891"/>
      <c r="F16" s="891"/>
      <c r="G16" s="891"/>
      <c r="H16" s="891"/>
      <c r="I16" s="891"/>
      <c r="J16" s="892"/>
    </row>
    <row r="17" spans="1:16" x14ac:dyDescent="0.2">
      <c r="A17" s="17">
        <v>6</v>
      </c>
      <c r="B17" s="184" t="s">
        <v>880</v>
      </c>
      <c r="C17" s="890"/>
      <c r="D17" s="891"/>
      <c r="E17" s="891"/>
      <c r="F17" s="891"/>
      <c r="G17" s="891"/>
      <c r="H17" s="891"/>
      <c r="I17" s="891"/>
      <c r="J17" s="892"/>
    </row>
    <row r="18" spans="1:16" x14ac:dyDescent="0.2">
      <c r="A18" s="17">
        <v>7</v>
      </c>
      <c r="B18" s="184" t="s">
        <v>881</v>
      </c>
      <c r="C18" s="890"/>
      <c r="D18" s="891"/>
      <c r="E18" s="891"/>
      <c r="F18" s="891"/>
      <c r="G18" s="891"/>
      <c r="H18" s="891"/>
      <c r="I18" s="891"/>
      <c r="J18" s="892"/>
    </row>
    <row r="19" spans="1:16" x14ac:dyDescent="0.2">
      <c r="A19" s="17">
        <v>8</v>
      </c>
      <c r="B19" s="184" t="s">
        <v>882</v>
      </c>
      <c r="C19" s="890"/>
      <c r="D19" s="891"/>
      <c r="E19" s="891"/>
      <c r="F19" s="891"/>
      <c r="G19" s="891"/>
      <c r="H19" s="891"/>
      <c r="I19" s="891"/>
      <c r="J19" s="892"/>
    </row>
    <row r="20" spans="1:16" x14ac:dyDescent="0.2">
      <c r="A20" s="17">
        <v>9</v>
      </c>
      <c r="B20" s="184" t="s">
        <v>883</v>
      </c>
      <c r="C20" s="890"/>
      <c r="D20" s="891"/>
      <c r="E20" s="891"/>
      <c r="F20" s="891"/>
      <c r="G20" s="891"/>
      <c r="H20" s="891"/>
      <c r="I20" s="891"/>
      <c r="J20" s="892"/>
    </row>
    <row r="21" spans="1:16" x14ac:dyDescent="0.2">
      <c r="A21" s="17">
        <v>10</v>
      </c>
      <c r="B21" s="184" t="s">
        <v>884</v>
      </c>
      <c r="C21" s="890"/>
      <c r="D21" s="891"/>
      <c r="E21" s="891"/>
      <c r="F21" s="891"/>
      <c r="G21" s="891"/>
      <c r="H21" s="891"/>
      <c r="I21" s="891"/>
      <c r="J21" s="892"/>
    </row>
    <row r="22" spans="1:16" x14ac:dyDescent="0.2">
      <c r="A22" s="17">
        <v>11</v>
      </c>
      <c r="B22" s="184" t="s">
        <v>885</v>
      </c>
      <c r="C22" s="890"/>
      <c r="D22" s="891"/>
      <c r="E22" s="891"/>
      <c r="F22" s="891"/>
      <c r="G22" s="891"/>
      <c r="H22" s="891"/>
      <c r="I22" s="891"/>
      <c r="J22" s="892"/>
    </row>
    <row r="23" spans="1:16" x14ac:dyDescent="0.2">
      <c r="A23" s="17">
        <v>12</v>
      </c>
      <c r="B23" s="241" t="s">
        <v>886</v>
      </c>
      <c r="C23" s="890"/>
      <c r="D23" s="891"/>
      <c r="E23" s="891"/>
      <c r="F23" s="891"/>
      <c r="G23" s="891"/>
      <c r="H23" s="891"/>
      <c r="I23" s="891"/>
      <c r="J23" s="892"/>
      <c r="P23" s="15">
        <v>2</v>
      </c>
    </row>
    <row r="24" spans="1:16" x14ac:dyDescent="0.2">
      <c r="A24" s="17">
        <v>13</v>
      </c>
      <c r="B24" s="184" t="s">
        <v>887</v>
      </c>
      <c r="C24" s="890"/>
      <c r="D24" s="891"/>
      <c r="E24" s="891"/>
      <c r="F24" s="891"/>
      <c r="G24" s="891"/>
      <c r="H24" s="891"/>
      <c r="I24" s="891"/>
      <c r="J24" s="892"/>
    </row>
    <row r="25" spans="1:16" x14ac:dyDescent="0.2">
      <c r="A25" s="17">
        <v>14</v>
      </c>
      <c r="B25" s="184" t="s">
        <v>888</v>
      </c>
      <c r="C25" s="890"/>
      <c r="D25" s="891"/>
      <c r="E25" s="891"/>
      <c r="F25" s="891"/>
      <c r="G25" s="891"/>
      <c r="H25" s="891"/>
      <c r="I25" s="891"/>
      <c r="J25" s="892"/>
    </row>
    <row r="26" spans="1:16" x14ac:dyDescent="0.2">
      <c r="A26" s="17">
        <v>15</v>
      </c>
      <c r="B26" s="184" t="s">
        <v>889</v>
      </c>
      <c r="C26" s="890"/>
      <c r="D26" s="891"/>
      <c r="E26" s="891"/>
      <c r="F26" s="891"/>
      <c r="G26" s="891"/>
      <c r="H26" s="891"/>
      <c r="I26" s="891"/>
      <c r="J26" s="892"/>
    </row>
    <row r="27" spans="1:16" x14ac:dyDescent="0.2">
      <c r="A27" s="17">
        <v>16</v>
      </c>
      <c r="B27" s="184" t="s">
        <v>890</v>
      </c>
      <c r="C27" s="890"/>
      <c r="D27" s="891"/>
      <c r="E27" s="891"/>
      <c r="F27" s="891"/>
      <c r="G27" s="891"/>
      <c r="H27" s="891"/>
      <c r="I27" s="891"/>
      <c r="J27" s="892"/>
    </row>
    <row r="28" spans="1:16" x14ac:dyDescent="0.2">
      <c r="A28" s="17">
        <v>17</v>
      </c>
      <c r="B28" s="184" t="s">
        <v>891</v>
      </c>
      <c r="C28" s="890"/>
      <c r="D28" s="891"/>
      <c r="E28" s="891"/>
      <c r="F28" s="891"/>
      <c r="G28" s="891"/>
      <c r="H28" s="891"/>
      <c r="I28" s="891"/>
      <c r="J28" s="892"/>
    </row>
    <row r="29" spans="1:16" x14ac:dyDescent="0.2">
      <c r="A29" s="17">
        <v>18</v>
      </c>
      <c r="B29" s="184" t="s">
        <v>892</v>
      </c>
      <c r="C29" s="890"/>
      <c r="D29" s="891"/>
      <c r="E29" s="891"/>
      <c r="F29" s="891"/>
      <c r="G29" s="891"/>
      <c r="H29" s="891"/>
      <c r="I29" s="891"/>
      <c r="J29" s="892"/>
    </row>
    <row r="30" spans="1:16" x14ac:dyDescent="0.2">
      <c r="A30" s="17">
        <v>19</v>
      </c>
      <c r="B30" s="184" t="s">
        <v>893</v>
      </c>
      <c r="C30" s="890"/>
      <c r="D30" s="891"/>
      <c r="E30" s="891"/>
      <c r="F30" s="891"/>
      <c r="G30" s="891"/>
      <c r="H30" s="891"/>
      <c r="I30" s="891"/>
      <c r="J30" s="892"/>
    </row>
    <row r="31" spans="1:16" x14ac:dyDescent="0.2">
      <c r="A31" s="17">
        <v>20</v>
      </c>
      <c r="B31" s="184" t="s">
        <v>894</v>
      </c>
      <c r="C31" s="890"/>
      <c r="D31" s="891"/>
      <c r="E31" s="891"/>
      <c r="F31" s="891"/>
      <c r="G31" s="891"/>
      <c r="H31" s="891"/>
      <c r="I31" s="891"/>
      <c r="J31" s="892"/>
    </row>
    <row r="32" spans="1:16" x14ac:dyDescent="0.2">
      <c r="A32" s="17">
        <v>21</v>
      </c>
      <c r="B32" s="184" t="s">
        <v>895</v>
      </c>
      <c r="C32" s="890"/>
      <c r="D32" s="891"/>
      <c r="E32" s="891"/>
      <c r="F32" s="891"/>
      <c r="G32" s="891"/>
      <c r="H32" s="891"/>
      <c r="I32" s="891"/>
      <c r="J32" s="892"/>
    </row>
    <row r="33" spans="1:10" x14ac:dyDescent="0.2">
      <c r="A33" s="17">
        <v>22</v>
      </c>
      <c r="B33" s="184" t="s">
        <v>896</v>
      </c>
      <c r="C33" s="890"/>
      <c r="D33" s="891"/>
      <c r="E33" s="891"/>
      <c r="F33" s="891"/>
      <c r="G33" s="891"/>
      <c r="H33" s="891"/>
      <c r="I33" s="891"/>
      <c r="J33" s="892"/>
    </row>
    <row r="34" spans="1:10" x14ac:dyDescent="0.2">
      <c r="A34" s="17">
        <v>23</v>
      </c>
      <c r="B34" s="184" t="s">
        <v>897</v>
      </c>
      <c r="C34" s="890"/>
      <c r="D34" s="891"/>
      <c r="E34" s="891"/>
      <c r="F34" s="891"/>
      <c r="G34" s="891"/>
      <c r="H34" s="891"/>
      <c r="I34" s="891"/>
      <c r="J34" s="892"/>
    </row>
    <row r="35" spans="1:10" x14ac:dyDescent="0.2">
      <c r="A35" s="17">
        <v>24</v>
      </c>
      <c r="B35" s="184" t="s">
        <v>898</v>
      </c>
      <c r="C35" s="890"/>
      <c r="D35" s="891"/>
      <c r="E35" s="891"/>
      <c r="F35" s="891"/>
      <c r="G35" s="891"/>
      <c r="H35" s="891"/>
      <c r="I35" s="891"/>
      <c r="J35" s="892"/>
    </row>
    <row r="36" spans="1:10" x14ac:dyDescent="0.2">
      <c r="A36" s="3" t="s">
        <v>15</v>
      </c>
      <c r="B36" s="28"/>
      <c r="C36" s="893"/>
      <c r="D36" s="894"/>
      <c r="E36" s="894"/>
      <c r="F36" s="894"/>
      <c r="G36" s="894"/>
      <c r="H36" s="894"/>
      <c r="I36" s="894"/>
      <c r="J36" s="895"/>
    </row>
    <row r="37" spans="1:10" x14ac:dyDescent="0.2">
      <c r="A37" s="11"/>
      <c r="B37" s="29"/>
      <c r="C37" s="29"/>
      <c r="D37" s="20"/>
      <c r="E37" s="20"/>
      <c r="F37" s="20"/>
      <c r="G37" s="20"/>
      <c r="H37" s="20"/>
      <c r="I37" s="20"/>
      <c r="J37" s="20"/>
    </row>
    <row r="38" spans="1:10" x14ac:dyDescent="0.2">
      <c r="A38" s="885" t="s">
        <v>859</v>
      </c>
      <c r="B38" s="885"/>
      <c r="C38" s="885"/>
      <c r="D38" s="885"/>
      <c r="E38" s="885"/>
      <c r="F38" s="885"/>
      <c r="G38" s="885"/>
      <c r="H38" s="885"/>
      <c r="I38" s="20"/>
      <c r="J38" s="20"/>
    </row>
    <row r="39" spans="1:10" x14ac:dyDescent="0.2">
      <c r="A39" s="554"/>
      <c r="B39" s="554"/>
      <c r="C39" s="554"/>
      <c r="D39" s="554"/>
      <c r="E39" s="554"/>
      <c r="F39" s="554"/>
      <c r="G39" s="554"/>
      <c r="H39" s="554"/>
      <c r="I39" s="20"/>
      <c r="J39" s="20"/>
    </row>
    <row r="40" spans="1:10" x14ac:dyDescent="0.2">
      <c r="A40" s="554"/>
      <c r="B40" s="554"/>
      <c r="C40" s="554"/>
      <c r="D40" s="554"/>
      <c r="E40" s="554"/>
      <c r="F40" s="554"/>
      <c r="G40" s="554"/>
      <c r="H40" s="554"/>
      <c r="I40" s="20"/>
      <c r="J40" s="20"/>
    </row>
    <row r="41" spans="1:10" x14ac:dyDescent="0.2">
      <c r="A41" s="670" t="s">
        <v>11</v>
      </c>
      <c r="B41" s="670"/>
      <c r="C41" s="670"/>
      <c r="D41" s="670"/>
      <c r="E41" s="670"/>
      <c r="F41" s="670"/>
      <c r="G41" s="670"/>
      <c r="H41" s="669"/>
      <c r="I41" s="757" t="s">
        <v>1107</v>
      </c>
      <c r="J41" s="757"/>
    </row>
    <row r="42" spans="1:10" ht="13.15" customHeight="1" x14ac:dyDescent="0.2">
      <c r="A42" s="758" t="s">
        <v>1108</v>
      </c>
      <c r="B42" s="758"/>
      <c r="C42" s="758"/>
      <c r="D42" s="758"/>
      <c r="E42" s="758"/>
      <c r="F42" s="758"/>
      <c r="G42" s="758"/>
      <c r="H42" s="758"/>
      <c r="I42" s="758"/>
      <c r="J42" s="758"/>
    </row>
    <row r="43" spans="1:10" ht="15.75" customHeight="1" x14ac:dyDescent="0.2">
      <c r="A43" s="758" t="s">
        <v>1111</v>
      </c>
      <c r="B43" s="758"/>
      <c r="C43" s="758"/>
      <c r="D43" s="758"/>
      <c r="E43" s="758"/>
      <c r="F43" s="758"/>
      <c r="G43" s="758"/>
      <c r="H43" s="758"/>
      <c r="I43" s="758"/>
      <c r="J43" s="758"/>
    </row>
    <row r="44" spans="1:10" ht="12.75" customHeight="1" x14ac:dyDescent="0.2">
      <c r="A44" s="670"/>
      <c r="B44" s="670"/>
      <c r="C44" s="670"/>
      <c r="D44" s="669"/>
      <c r="E44" s="670"/>
      <c r="F44" s="669"/>
      <c r="G44" s="669"/>
      <c r="H44" s="756" t="s">
        <v>1110</v>
      </c>
      <c r="I44" s="756"/>
      <c r="J44" s="756"/>
    </row>
    <row r="48" spans="1:10" x14ac:dyDescent="0.2">
      <c r="A48" s="886"/>
      <c r="B48" s="886"/>
      <c r="C48" s="886"/>
      <c r="D48" s="886"/>
      <c r="E48" s="886"/>
      <c r="F48" s="886"/>
      <c r="G48" s="886"/>
      <c r="H48" s="886"/>
      <c r="I48" s="886"/>
      <c r="J48" s="886"/>
    </row>
    <row r="50" spans="1:10" x14ac:dyDescent="0.2">
      <c r="A50" s="886"/>
      <c r="B50" s="886"/>
      <c r="C50" s="886"/>
      <c r="D50" s="886"/>
      <c r="E50" s="886"/>
      <c r="F50" s="886"/>
      <c r="G50" s="886"/>
      <c r="H50" s="886"/>
      <c r="I50" s="886"/>
      <c r="J50" s="886"/>
    </row>
  </sheetData>
  <mergeCells count="17">
    <mergeCell ref="A50:J50"/>
    <mergeCell ref="A38:H38"/>
    <mergeCell ref="A43:J43"/>
    <mergeCell ref="H44:J44"/>
    <mergeCell ref="I41:J41"/>
    <mergeCell ref="A42:J42"/>
    <mergeCell ref="A48:J48"/>
    <mergeCell ref="C12:J36"/>
    <mergeCell ref="A9:A10"/>
    <mergeCell ref="B9:B10"/>
    <mergeCell ref="E1:I1"/>
    <mergeCell ref="A2:J2"/>
    <mergeCell ref="A3:J3"/>
    <mergeCell ref="A5:J5"/>
    <mergeCell ref="H8:J8"/>
    <mergeCell ref="C9:F9"/>
    <mergeCell ref="G9:J9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topLeftCell="A13" zoomScale="78" zoomScaleNormal="100" zoomScaleSheetLayoutView="78" workbookViewId="0">
      <selection activeCell="A41" sqref="A41:J44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792"/>
      <c r="F1" s="792"/>
      <c r="G1" s="792"/>
      <c r="H1" s="792"/>
      <c r="I1" s="792"/>
      <c r="J1" s="133" t="s">
        <v>425</v>
      </c>
    </row>
    <row r="2" spans="1:16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6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</row>
    <row r="4" spans="1:16" customFormat="1" ht="14.25" customHeight="1" x14ac:dyDescent="0.2"/>
    <row r="5" spans="1:16" ht="31.5" customHeight="1" x14ac:dyDescent="0.25">
      <c r="A5" s="880" t="s">
        <v>745</v>
      </c>
      <c r="B5" s="880"/>
      <c r="C5" s="880"/>
      <c r="D5" s="880"/>
      <c r="E5" s="880"/>
      <c r="F5" s="880"/>
      <c r="G5" s="880"/>
      <c r="H5" s="880"/>
      <c r="I5" s="880"/>
      <c r="J5" s="880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6" x14ac:dyDescent="0.2">
      <c r="A8" s="33" t="s">
        <v>1098</v>
      </c>
      <c r="B8" s="598"/>
      <c r="C8" s="30"/>
      <c r="H8" s="870" t="s">
        <v>770</v>
      </c>
      <c r="I8" s="870"/>
      <c r="J8" s="870"/>
    </row>
    <row r="9" spans="1:16" x14ac:dyDescent="0.2">
      <c r="A9" s="775" t="s">
        <v>1</v>
      </c>
      <c r="B9" s="775" t="s">
        <v>2</v>
      </c>
      <c r="C9" s="733" t="s">
        <v>740</v>
      </c>
      <c r="D9" s="734"/>
      <c r="E9" s="734"/>
      <c r="F9" s="735"/>
      <c r="G9" s="733" t="s">
        <v>98</v>
      </c>
      <c r="H9" s="734"/>
      <c r="I9" s="734"/>
      <c r="J9" s="735"/>
      <c r="O9" s="18"/>
      <c r="P9" s="20"/>
    </row>
    <row r="10" spans="1:16" ht="53.25" customHeight="1" x14ac:dyDescent="0.2">
      <c r="A10" s="775"/>
      <c r="B10" s="775"/>
      <c r="C10" s="5" t="s">
        <v>176</v>
      </c>
      <c r="D10" s="5" t="s">
        <v>13</v>
      </c>
      <c r="E10" s="227" t="s">
        <v>358</v>
      </c>
      <c r="F10" s="7" t="s">
        <v>193</v>
      </c>
      <c r="G10" s="5" t="s">
        <v>176</v>
      </c>
      <c r="H10" s="24" t="s">
        <v>14</v>
      </c>
      <c r="I10" s="98" t="s">
        <v>857</v>
      </c>
      <c r="J10" s="5" t="s">
        <v>858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">
      <c r="A12" s="17">
        <v>1</v>
      </c>
      <c r="B12" s="184" t="s">
        <v>875</v>
      </c>
      <c r="C12" s="887" t="s">
        <v>918</v>
      </c>
      <c r="D12" s="888"/>
      <c r="E12" s="888"/>
      <c r="F12" s="888"/>
      <c r="G12" s="888"/>
      <c r="H12" s="888"/>
      <c r="I12" s="888"/>
      <c r="J12" s="889"/>
    </row>
    <row r="13" spans="1:16" x14ac:dyDescent="0.2">
      <c r="A13" s="17">
        <v>2</v>
      </c>
      <c r="B13" s="184" t="s">
        <v>876</v>
      </c>
      <c r="C13" s="890"/>
      <c r="D13" s="891"/>
      <c r="E13" s="891"/>
      <c r="F13" s="891"/>
      <c r="G13" s="891"/>
      <c r="H13" s="891"/>
      <c r="I13" s="891"/>
      <c r="J13" s="892"/>
    </row>
    <row r="14" spans="1:16" x14ac:dyDescent="0.2">
      <c r="A14" s="17">
        <v>3</v>
      </c>
      <c r="B14" s="184" t="s">
        <v>877</v>
      </c>
      <c r="C14" s="890"/>
      <c r="D14" s="891"/>
      <c r="E14" s="891"/>
      <c r="F14" s="891"/>
      <c r="G14" s="891"/>
      <c r="H14" s="891"/>
      <c r="I14" s="891"/>
      <c r="J14" s="892"/>
    </row>
    <row r="15" spans="1:16" x14ac:dyDescent="0.2">
      <c r="A15" s="17">
        <v>4</v>
      </c>
      <c r="B15" s="184" t="s">
        <v>878</v>
      </c>
      <c r="C15" s="890"/>
      <c r="D15" s="891"/>
      <c r="E15" s="891"/>
      <c r="F15" s="891"/>
      <c r="G15" s="891"/>
      <c r="H15" s="891"/>
      <c r="I15" s="891"/>
      <c r="J15" s="892"/>
    </row>
    <row r="16" spans="1:16" x14ac:dyDescent="0.2">
      <c r="A16" s="17">
        <v>5</v>
      </c>
      <c r="B16" s="184" t="s">
        <v>879</v>
      </c>
      <c r="C16" s="890"/>
      <c r="D16" s="891"/>
      <c r="E16" s="891"/>
      <c r="F16" s="891"/>
      <c r="G16" s="891"/>
      <c r="H16" s="891"/>
      <c r="I16" s="891"/>
      <c r="J16" s="892"/>
    </row>
    <row r="17" spans="1:10" x14ac:dyDescent="0.2">
      <c r="A17" s="17">
        <v>6</v>
      </c>
      <c r="B17" s="184" t="s">
        <v>880</v>
      </c>
      <c r="C17" s="890"/>
      <c r="D17" s="891"/>
      <c r="E17" s="891"/>
      <c r="F17" s="891"/>
      <c r="G17" s="891"/>
      <c r="H17" s="891"/>
      <c r="I17" s="891"/>
      <c r="J17" s="892"/>
    </row>
    <row r="18" spans="1:10" x14ac:dyDescent="0.2">
      <c r="A18" s="17">
        <v>7</v>
      </c>
      <c r="B18" s="184" t="s">
        <v>881</v>
      </c>
      <c r="C18" s="890"/>
      <c r="D18" s="891"/>
      <c r="E18" s="891"/>
      <c r="F18" s="891"/>
      <c r="G18" s="891"/>
      <c r="H18" s="891"/>
      <c r="I18" s="891"/>
      <c r="J18" s="892"/>
    </row>
    <row r="19" spans="1:10" x14ac:dyDescent="0.2">
      <c r="A19" s="17">
        <v>8</v>
      </c>
      <c r="B19" s="184" t="s">
        <v>882</v>
      </c>
      <c r="C19" s="890"/>
      <c r="D19" s="891"/>
      <c r="E19" s="891"/>
      <c r="F19" s="891"/>
      <c r="G19" s="891"/>
      <c r="H19" s="891"/>
      <c r="I19" s="891"/>
      <c r="J19" s="892"/>
    </row>
    <row r="20" spans="1:10" x14ac:dyDescent="0.2">
      <c r="A20" s="17">
        <v>9</v>
      </c>
      <c r="B20" s="184" t="s">
        <v>883</v>
      </c>
      <c r="C20" s="890"/>
      <c r="D20" s="891"/>
      <c r="E20" s="891"/>
      <c r="F20" s="891"/>
      <c r="G20" s="891"/>
      <c r="H20" s="891"/>
      <c r="I20" s="891"/>
      <c r="J20" s="892"/>
    </row>
    <row r="21" spans="1:10" x14ac:dyDescent="0.2">
      <c r="A21" s="17">
        <v>10</v>
      </c>
      <c r="B21" s="184" t="s">
        <v>884</v>
      </c>
      <c r="C21" s="890"/>
      <c r="D21" s="891"/>
      <c r="E21" s="891"/>
      <c r="F21" s="891"/>
      <c r="G21" s="891"/>
      <c r="H21" s="891"/>
      <c r="I21" s="891"/>
      <c r="J21" s="892"/>
    </row>
    <row r="22" spans="1:10" x14ac:dyDescent="0.2">
      <c r="A22" s="17">
        <v>11</v>
      </c>
      <c r="B22" s="184" t="s">
        <v>885</v>
      </c>
      <c r="C22" s="890"/>
      <c r="D22" s="891"/>
      <c r="E22" s="891"/>
      <c r="F22" s="891"/>
      <c r="G22" s="891"/>
      <c r="H22" s="891"/>
      <c r="I22" s="891"/>
      <c r="J22" s="892"/>
    </row>
    <row r="23" spans="1:10" x14ac:dyDescent="0.2">
      <c r="A23" s="17">
        <v>12</v>
      </c>
      <c r="B23" s="241" t="s">
        <v>886</v>
      </c>
      <c r="C23" s="890"/>
      <c r="D23" s="891"/>
      <c r="E23" s="891"/>
      <c r="F23" s="891"/>
      <c r="G23" s="891"/>
      <c r="H23" s="891"/>
      <c r="I23" s="891"/>
      <c r="J23" s="892"/>
    </row>
    <row r="24" spans="1:10" x14ac:dyDescent="0.2">
      <c r="A24" s="17">
        <v>13</v>
      </c>
      <c r="B24" s="184" t="s">
        <v>887</v>
      </c>
      <c r="C24" s="890"/>
      <c r="D24" s="891"/>
      <c r="E24" s="891"/>
      <c r="F24" s="891"/>
      <c r="G24" s="891"/>
      <c r="H24" s="891"/>
      <c r="I24" s="891"/>
      <c r="J24" s="892"/>
    </row>
    <row r="25" spans="1:10" x14ac:dyDescent="0.2">
      <c r="A25" s="17">
        <v>14</v>
      </c>
      <c r="B25" s="184" t="s">
        <v>888</v>
      </c>
      <c r="C25" s="890"/>
      <c r="D25" s="891"/>
      <c r="E25" s="891"/>
      <c r="F25" s="891"/>
      <c r="G25" s="891"/>
      <c r="H25" s="891"/>
      <c r="I25" s="891"/>
      <c r="J25" s="892"/>
    </row>
    <row r="26" spans="1:10" x14ac:dyDescent="0.2">
      <c r="A26" s="17">
        <v>15</v>
      </c>
      <c r="B26" s="184" t="s">
        <v>889</v>
      </c>
      <c r="C26" s="890"/>
      <c r="D26" s="891"/>
      <c r="E26" s="891"/>
      <c r="F26" s="891"/>
      <c r="G26" s="891"/>
      <c r="H26" s="891"/>
      <c r="I26" s="891"/>
      <c r="J26" s="892"/>
    </row>
    <row r="27" spans="1:10" x14ac:dyDescent="0.2">
      <c r="A27" s="17">
        <v>16</v>
      </c>
      <c r="B27" s="184" t="s">
        <v>890</v>
      </c>
      <c r="C27" s="890"/>
      <c r="D27" s="891"/>
      <c r="E27" s="891"/>
      <c r="F27" s="891"/>
      <c r="G27" s="891"/>
      <c r="H27" s="891"/>
      <c r="I27" s="891"/>
      <c r="J27" s="892"/>
    </row>
    <row r="28" spans="1:10" x14ac:dyDescent="0.2">
      <c r="A28" s="17">
        <v>17</v>
      </c>
      <c r="B28" s="184" t="s">
        <v>891</v>
      </c>
      <c r="C28" s="890"/>
      <c r="D28" s="891"/>
      <c r="E28" s="891"/>
      <c r="F28" s="891"/>
      <c r="G28" s="891"/>
      <c r="H28" s="891"/>
      <c r="I28" s="891"/>
      <c r="J28" s="892"/>
    </row>
    <row r="29" spans="1:10" x14ac:dyDescent="0.2">
      <c r="A29" s="17">
        <v>18</v>
      </c>
      <c r="B29" s="184" t="s">
        <v>892</v>
      </c>
      <c r="C29" s="890"/>
      <c r="D29" s="891"/>
      <c r="E29" s="891"/>
      <c r="F29" s="891"/>
      <c r="G29" s="891"/>
      <c r="H29" s="891"/>
      <c r="I29" s="891"/>
      <c r="J29" s="892"/>
    </row>
    <row r="30" spans="1:10" x14ac:dyDescent="0.2">
      <c r="A30" s="17">
        <v>19</v>
      </c>
      <c r="B30" s="184" t="s">
        <v>893</v>
      </c>
      <c r="C30" s="890"/>
      <c r="D30" s="891"/>
      <c r="E30" s="891"/>
      <c r="F30" s="891"/>
      <c r="G30" s="891"/>
      <c r="H30" s="891"/>
      <c r="I30" s="891"/>
      <c r="J30" s="892"/>
    </row>
    <row r="31" spans="1:10" x14ac:dyDescent="0.2">
      <c r="A31" s="17">
        <v>20</v>
      </c>
      <c r="B31" s="184" t="s">
        <v>894</v>
      </c>
      <c r="C31" s="890"/>
      <c r="D31" s="891"/>
      <c r="E31" s="891"/>
      <c r="F31" s="891"/>
      <c r="G31" s="891"/>
      <c r="H31" s="891"/>
      <c r="I31" s="891"/>
      <c r="J31" s="892"/>
    </row>
    <row r="32" spans="1:10" x14ac:dyDescent="0.2">
      <c r="A32" s="17">
        <v>21</v>
      </c>
      <c r="B32" s="184" t="s">
        <v>895</v>
      </c>
      <c r="C32" s="890"/>
      <c r="D32" s="891"/>
      <c r="E32" s="891"/>
      <c r="F32" s="891"/>
      <c r="G32" s="891"/>
      <c r="H32" s="891"/>
      <c r="I32" s="891"/>
      <c r="J32" s="892"/>
    </row>
    <row r="33" spans="1:10" x14ac:dyDescent="0.2">
      <c r="A33" s="17">
        <v>22</v>
      </c>
      <c r="B33" s="184" t="s">
        <v>896</v>
      </c>
      <c r="C33" s="890"/>
      <c r="D33" s="891"/>
      <c r="E33" s="891"/>
      <c r="F33" s="891"/>
      <c r="G33" s="891"/>
      <c r="H33" s="891"/>
      <c r="I33" s="891"/>
      <c r="J33" s="892"/>
    </row>
    <row r="34" spans="1:10" x14ac:dyDescent="0.2">
      <c r="A34" s="17">
        <v>23</v>
      </c>
      <c r="B34" s="184" t="s">
        <v>897</v>
      </c>
      <c r="C34" s="890"/>
      <c r="D34" s="891"/>
      <c r="E34" s="891"/>
      <c r="F34" s="891"/>
      <c r="G34" s="891"/>
      <c r="H34" s="891"/>
      <c r="I34" s="891"/>
      <c r="J34" s="892"/>
    </row>
    <row r="35" spans="1:10" x14ac:dyDescent="0.2">
      <c r="A35" s="17">
        <v>24</v>
      </c>
      <c r="B35" s="184" t="s">
        <v>898</v>
      </c>
      <c r="C35" s="890"/>
      <c r="D35" s="891"/>
      <c r="E35" s="891"/>
      <c r="F35" s="891"/>
      <c r="G35" s="891"/>
      <c r="H35" s="891"/>
      <c r="I35" s="891"/>
      <c r="J35" s="892"/>
    </row>
    <row r="36" spans="1:10" x14ac:dyDescent="0.2">
      <c r="A36" s="3" t="s">
        <v>15</v>
      </c>
      <c r="B36" s="28"/>
      <c r="C36" s="893"/>
      <c r="D36" s="894"/>
      <c r="E36" s="894"/>
      <c r="F36" s="894"/>
      <c r="G36" s="894"/>
      <c r="H36" s="894"/>
      <c r="I36" s="894"/>
      <c r="J36" s="895"/>
    </row>
    <row r="37" spans="1:10" x14ac:dyDescent="0.2">
      <c r="A37" s="11"/>
      <c r="B37" s="29"/>
      <c r="C37" s="29"/>
      <c r="D37" s="20"/>
      <c r="E37" s="20"/>
      <c r="F37" s="20"/>
      <c r="G37" s="20"/>
      <c r="H37" s="20"/>
      <c r="I37" s="20"/>
      <c r="J37" s="20"/>
    </row>
    <row r="38" spans="1:10" x14ac:dyDescent="0.2">
      <c r="A38" s="885" t="s">
        <v>859</v>
      </c>
      <c r="B38" s="885"/>
      <c r="C38" s="885"/>
      <c r="D38" s="885"/>
      <c r="E38" s="885"/>
      <c r="F38" s="885"/>
      <c r="G38" s="885"/>
      <c r="H38" s="885"/>
      <c r="I38" s="20"/>
      <c r="J38" s="20"/>
    </row>
    <row r="39" spans="1:10" x14ac:dyDescent="0.2">
      <c r="A39" s="11"/>
      <c r="B39" s="29"/>
      <c r="C39" s="29"/>
      <c r="D39" s="20"/>
      <c r="E39" s="20"/>
      <c r="F39" s="20"/>
      <c r="G39" s="20"/>
      <c r="H39" s="20"/>
      <c r="I39" s="20"/>
      <c r="J39" s="20"/>
    </row>
    <row r="40" spans="1:10" x14ac:dyDescent="0.2">
      <c r="A40" s="11"/>
      <c r="B40" s="29"/>
      <c r="C40" s="29"/>
      <c r="D40" s="20"/>
      <c r="E40" s="20"/>
      <c r="F40" s="20"/>
      <c r="G40" s="20"/>
      <c r="H40" s="20"/>
      <c r="I40" s="20"/>
      <c r="J40" s="20"/>
    </row>
    <row r="41" spans="1:10" x14ac:dyDescent="0.2">
      <c r="A41" s="670" t="s">
        <v>11</v>
      </c>
      <c r="B41" s="670"/>
      <c r="C41" s="670"/>
      <c r="D41" s="670"/>
      <c r="E41" s="670"/>
      <c r="F41" s="670"/>
      <c r="G41" s="670"/>
      <c r="H41" s="669"/>
      <c r="I41" s="757" t="s">
        <v>1107</v>
      </c>
      <c r="J41" s="757"/>
    </row>
    <row r="42" spans="1:10" ht="15.75" customHeight="1" x14ac:dyDescent="0.2">
      <c r="A42" s="758" t="s">
        <v>1108</v>
      </c>
      <c r="B42" s="758"/>
      <c r="C42" s="758"/>
      <c r="D42" s="758"/>
      <c r="E42" s="758"/>
      <c r="F42" s="758"/>
      <c r="G42" s="758"/>
      <c r="H42" s="758"/>
      <c r="I42" s="758"/>
      <c r="J42" s="758"/>
    </row>
    <row r="43" spans="1:10" ht="12.75" customHeight="1" x14ac:dyDescent="0.2">
      <c r="A43" s="758" t="s">
        <v>1111</v>
      </c>
      <c r="B43" s="758"/>
      <c r="C43" s="758"/>
      <c r="D43" s="758"/>
      <c r="E43" s="758"/>
      <c r="F43" s="758"/>
      <c r="G43" s="758"/>
      <c r="H43" s="758"/>
      <c r="I43" s="758"/>
      <c r="J43" s="758"/>
    </row>
    <row r="44" spans="1:10" ht="12.75" customHeight="1" x14ac:dyDescent="0.2">
      <c r="A44" s="670"/>
      <c r="B44" s="670"/>
      <c r="C44" s="670"/>
      <c r="D44" s="669"/>
      <c r="E44" s="670"/>
      <c r="F44" s="669"/>
      <c r="G44" s="669"/>
      <c r="H44" s="756" t="s">
        <v>1110</v>
      </c>
      <c r="I44" s="756"/>
      <c r="J44" s="756"/>
    </row>
    <row r="48" spans="1:10" x14ac:dyDescent="0.2">
      <c r="A48" s="886"/>
      <c r="B48" s="886"/>
      <c r="C48" s="886"/>
      <c r="D48" s="886"/>
      <c r="E48" s="886"/>
      <c r="F48" s="886"/>
      <c r="G48" s="886"/>
      <c r="H48" s="886"/>
      <c r="I48" s="886"/>
      <c r="J48" s="886"/>
    </row>
    <row r="50" spans="1:10" x14ac:dyDescent="0.2">
      <c r="A50" s="886"/>
      <c r="B50" s="886"/>
      <c r="C50" s="886"/>
      <c r="D50" s="886"/>
      <c r="E50" s="886"/>
      <c r="F50" s="886"/>
      <c r="G50" s="886"/>
      <c r="H50" s="886"/>
      <c r="I50" s="886"/>
      <c r="J50" s="886"/>
    </row>
  </sheetData>
  <mergeCells count="17">
    <mergeCell ref="A50:J50"/>
    <mergeCell ref="A38:H38"/>
    <mergeCell ref="A43:J43"/>
    <mergeCell ref="H44:J44"/>
    <mergeCell ref="I41:J41"/>
    <mergeCell ref="A42:J42"/>
    <mergeCell ref="A48:J48"/>
    <mergeCell ref="C12:J36"/>
    <mergeCell ref="A9:A10"/>
    <mergeCell ref="B9:B10"/>
    <mergeCell ref="E1:I1"/>
    <mergeCell ref="A2:J2"/>
    <mergeCell ref="A3:J3"/>
    <mergeCell ref="A5:J5"/>
    <mergeCell ref="H8:J8"/>
    <mergeCell ref="C9:F9"/>
    <mergeCell ref="G9:J9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8"/>
  <sheetViews>
    <sheetView view="pageBreakPreview" topLeftCell="A16" zoomScale="90" zoomScaleNormal="100" zoomScaleSheetLayoutView="90" workbookViewId="0">
      <selection activeCell="I41" sqref="I41"/>
    </sheetView>
  </sheetViews>
  <sheetFormatPr defaultRowHeight="12.75" x14ac:dyDescent="0.2"/>
  <cols>
    <col min="1" max="1" width="6.7109375" style="15" customWidth="1"/>
    <col min="2" max="2" width="15.85546875" style="15" bestFit="1" customWidth="1"/>
    <col min="3" max="3" width="13" style="15" customWidth="1"/>
    <col min="4" max="4" width="10.42578125" style="15" customWidth="1"/>
    <col min="5" max="5" width="10.7109375" style="15" customWidth="1"/>
    <col min="6" max="7" width="13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5" width="9.140625" style="15"/>
    <col min="16" max="16" width="10.42578125" style="15" bestFit="1" customWidth="1"/>
    <col min="17" max="16384" width="9.140625" style="15"/>
  </cols>
  <sheetData>
    <row r="1" spans="1:18" customFormat="1" ht="15" x14ac:dyDescent="0.2">
      <c r="D1" s="33"/>
      <c r="E1" s="33"/>
      <c r="F1" s="33"/>
      <c r="G1" s="33"/>
      <c r="H1" s="33"/>
      <c r="I1" s="33"/>
      <c r="J1" s="33"/>
      <c r="K1" s="33"/>
      <c r="L1" s="896" t="s">
        <v>59</v>
      </c>
      <c r="M1" s="896"/>
      <c r="N1" s="39"/>
      <c r="O1" s="39"/>
    </row>
    <row r="2" spans="1:18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41"/>
      <c r="N2" s="41"/>
      <c r="O2" s="41"/>
    </row>
    <row r="3" spans="1:18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40"/>
      <c r="N3" s="40"/>
      <c r="O3" s="40"/>
    </row>
    <row r="4" spans="1:18" customFormat="1" ht="10.5" customHeight="1" x14ac:dyDescent="0.2"/>
    <row r="5" spans="1:18" ht="19.5" customHeight="1" x14ac:dyDescent="0.25">
      <c r="A5" s="880" t="s">
        <v>746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</row>
    <row r="6" spans="1:1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x14ac:dyDescent="0.2">
      <c r="A7" s="33" t="s">
        <v>1098</v>
      </c>
      <c r="B7" s="33"/>
      <c r="F7" s="897" t="s">
        <v>16</v>
      </c>
      <c r="G7" s="897"/>
      <c r="H7" s="897"/>
      <c r="I7" s="897"/>
      <c r="J7" s="897"/>
      <c r="K7" s="897"/>
      <c r="L7" s="897"/>
    </row>
    <row r="8" spans="1:18" x14ac:dyDescent="0.2">
      <c r="A8" s="14"/>
      <c r="F8" s="16"/>
      <c r="G8" s="94"/>
      <c r="H8" s="94"/>
      <c r="I8" s="898" t="s">
        <v>773</v>
      </c>
      <c r="J8" s="898"/>
      <c r="K8" s="898"/>
      <c r="L8" s="898"/>
    </row>
    <row r="9" spans="1:18" s="14" customFormat="1" x14ac:dyDescent="0.2">
      <c r="A9" s="775" t="s">
        <v>1</v>
      </c>
      <c r="B9" s="775" t="s">
        <v>2</v>
      </c>
      <c r="C9" s="770" t="s">
        <v>17</v>
      </c>
      <c r="D9" s="771"/>
      <c r="E9" s="771"/>
      <c r="F9" s="771"/>
      <c r="G9" s="771"/>
      <c r="H9" s="770" t="s">
        <v>38</v>
      </c>
      <c r="I9" s="771"/>
      <c r="J9" s="771"/>
      <c r="K9" s="771"/>
      <c r="L9" s="771"/>
      <c r="Q9" s="28"/>
      <c r="R9" s="29"/>
    </row>
    <row r="10" spans="1:18" s="14" customFormat="1" ht="77.45" customHeight="1" x14ac:dyDescent="0.2">
      <c r="A10" s="775"/>
      <c r="B10" s="775"/>
      <c r="C10" s="5" t="s">
        <v>747</v>
      </c>
      <c r="D10" s="5" t="s">
        <v>779</v>
      </c>
      <c r="E10" s="5" t="s">
        <v>66</v>
      </c>
      <c r="F10" s="5" t="s">
        <v>67</v>
      </c>
      <c r="G10" s="5" t="s">
        <v>654</v>
      </c>
      <c r="H10" s="5" t="s">
        <v>747</v>
      </c>
      <c r="I10" s="5" t="s">
        <v>779</v>
      </c>
      <c r="J10" s="5" t="s">
        <v>66</v>
      </c>
      <c r="K10" s="5" t="s">
        <v>67</v>
      </c>
      <c r="L10" s="5" t="s">
        <v>655</v>
      </c>
    </row>
    <row r="11" spans="1:18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s="14" customFormat="1" x14ac:dyDescent="0.2">
      <c r="A12" s="17">
        <v>1</v>
      </c>
      <c r="B12" s="184" t="s">
        <v>875</v>
      </c>
      <c r="C12" s="371">
        <v>2981.788231</v>
      </c>
      <c r="D12" s="371">
        <v>324.47896900000023</v>
      </c>
      <c r="E12" s="371">
        <v>2981.788231</v>
      </c>
      <c r="F12" s="371">
        <f>'enrolment vs availed_PY'!Q11*0.0001</f>
        <v>2954.8547000000003</v>
      </c>
      <c r="G12" s="371">
        <f>D12+E12-F12</f>
        <v>351.41249999999991</v>
      </c>
      <c r="H12" s="372"/>
      <c r="I12" s="372"/>
      <c r="J12" s="372"/>
      <c r="K12" s="372"/>
      <c r="L12" s="35"/>
      <c r="N12" s="300">
        <f>C12-E12</f>
        <v>0</v>
      </c>
      <c r="P12" s="300">
        <f>'enrolment vs availed_PY'!Q11*0.0001</f>
        <v>2954.8547000000003</v>
      </c>
      <c r="Q12" s="300">
        <f>F12-P12</f>
        <v>0</v>
      </c>
      <c r="R12" s="300">
        <f>D12+E12-P12</f>
        <v>351.41249999999991</v>
      </c>
    </row>
    <row r="13" spans="1:18" s="14" customFormat="1" x14ac:dyDescent="0.2">
      <c r="A13" s="17">
        <v>2</v>
      </c>
      <c r="B13" s="184" t="s">
        <v>876</v>
      </c>
      <c r="C13" s="371">
        <v>1292.0449000000003</v>
      </c>
      <c r="D13" s="371">
        <v>-9.0147000000001754</v>
      </c>
      <c r="E13" s="371">
        <v>1292.0449000000003</v>
      </c>
      <c r="F13" s="371">
        <f>'enrolment vs availed_PY'!Q12*0.0001</f>
        <v>990.3796000000001</v>
      </c>
      <c r="G13" s="371">
        <f t="shared" ref="G13:G35" si="0">D13+E13-F13</f>
        <v>292.65060000000005</v>
      </c>
      <c r="H13" s="372"/>
      <c r="I13" s="372"/>
      <c r="J13" s="372"/>
      <c r="K13" s="372"/>
      <c r="L13" s="35"/>
      <c r="N13" s="300">
        <f t="shared" ref="N13:N35" si="1">C13-E13</f>
        <v>0</v>
      </c>
      <c r="P13" s="300">
        <f>'enrolment vs availed_PY'!Q12*0.0001</f>
        <v>990.3796000000001</v>
      </c>
      <c r="Q13" s="300">
        <f t="shared" ref="Q13:Q36" si="2">F13-P13</f>
        <v>0</v>
      </c>
      <c r="R13" s="300">
        <f t="shared" ref="R13:R36" si="3">D13+E13-P13</f>
        <v>292.65060000000005</v>
      </c>
    </row>
    <row r="14" spans="1:18" s="14" customFormat="1" x14ac:dyDescent="0.2">
      <c r="A14" s="17">
        <v>3</v>
      </c>
      <c r="B14" s="184" t="s">
        <v>877</v>
      </c>
      <c r="C14" s="371">
        <v>901.11940000000016</v>
      </c>
      <c r="D14" s="371">
        <v>34.423400000000015</v>
      </c>
      <c r="E14" s="371">
        <v>901.11940000000016</v>
      </c>
      <c r="F14" s="371">
        <f>'enrolment vs availed_PY'!Q13*0.0001</f>
        <v>777.05380000000002</v>
      </c>
      <c r="G14" s="371">
        <f t="shared" si="0"/>
        <v>158.48900000000015</v>
      </c>
      <c r="H14" s="372"/>
      <c r="I14" s="372"/>
      <c r="J14" s="372"/>
      <c r="K14" s="372"/>
      <c r="L14" s="35"/>
      <c r="N14" s="300">
        <f t="shared" si="1"/>
        <v>0</v>
      </c>
      <c r="P14" s="300">
        <f>'enrolment vs availed_PY'!Q13*0.0001</f>
        <v>777.05380000000002</v>
      </c>
      <c r="Q14" s="300">
        <f t="shared" si="2"/>
        <v>0</v>
      </c>
      <c r="R14" s="300">
        <f t="shared" si="3"/>
        <v>158.48900000000015</v>
      </c>
    </row>
    <row r="15" spans="1:18" s="14" customFormat="1" x14ac:dyDescent="0.2">
      <c r="A15" s="17">
        <v>4</v>
      </c>
      <c r="B15" s="184" t="s">
        <v>878</v>
      </c>
      <c r="C15" s="371">
        <v>2602.7568999999999</v>
      </c>
      <c r="D15" s="371">
        <v>-5.6322999999997592</v>
      </c>
      <c r="E15" s="371">
        <v>2602.7568999999999</v>
      </c>
      <c r="F15" s="371">
        <f>'enrolment vs availed_PY'!Q14*0.0001</f>
        <v>2297.7519000000002</v>
      </c>
      <c r="G15" s="371">
        <f t="shared" si="0"/>
        <v>299.3726999999999</v>
      </c>
      <c r="H15" s="372"/>
      <c r="I15" s="372"/>
      <c r="J15" s="372"/>
      <c r="K15" s="372"/>
      <c r="L15" s="35"/>
      <c r="N15" s="300">
        <f t="shared" si="1"/>
        <v>0</v>
      </c>
      <c r="P15" s="300">
        <f>'enrolment vs availed_PY'!Q14*0.0001</f>
        <v>2297.7519000000002</v>
      </c>
      <c r="Q15" s="300">
        <f t="shared" si="2"/>
        <v>0</v>
      </c>
      <c r="R15" s="300">
        <f t="shared" si="3"/>
        <v>299.3726999999999</v>
      </c>
    </row>
    <row r="16" spans="1:18" s="14" customFormat="1" x14ac:dyDescent="0.2">
      <c r="A16" s="17">
        <v>5</v>
      </c>
      <c r="B16" s="184" t="s">
        <v>879</v>
      </c>
      <c r="C16" s="371">
        <v>1420.6887999999997</v>
      </c>
      <c r="D16" s="371">
        <v>-43.983399999999619</v>
      </c>
      <c r="E16" s="371">
        <v>1420.6887999999997</v>
      </c>
      <c r="F16" s="371">
        <f>'enrolment vs availed_PY'!Q15*0.0001</f>
        <v>1193.7215000000001</v>
      </c>
      <c r="G16" s="371">
        <f t="shared" si="0"/>
        <v>182.98389999999995</v>
      </c>
      <c r="H16" s="372"/>
      <c r="I16" s="372"/>
      <c r="J16" s="372"/>
      <c r="K16" s="372"/>
      <c r="L16" s="35"/>
      <c r="N16" s="300">
        <f t="shared" si="1"/>
        <v>0</v>
      </c>
      <c r="P16" s="300">
        <f>'enrolment vs availed_PY'!Q15*0.0001</f>
        <v>1193.7215000000001</v>
      </c>
      <c r="Q16" s="300">
        <f t="shared" si="2"/>
        <v>0</v>
      </c>
      <c r="R16" s="300">
        <f t="shared" si="3"/>
        <v>182.98389999999995</v>
      </c>
    </row>
    <row r="17" spans="1:18" s="14" customFormat="1" x14ac:dyDescent="0.2">
      <c r="A17" s="17">
        <v>6</v>
      </c>
      <c r="B17" s="184" t="s">
        <v>880</v>
      </c>
      <c r="C17" s="371">
        <v>2314.627300000001</v>
      </c>
      <c r="D17" s="371">
        <v>-129.03350000000091</v>
      </c>
      <c r="E17" s="371">
        <v>2314.627300000001</v>
      </c>
      <c r="F17" s="371">
        <f>'enrolment vs availed_PY'!Q16*0.0001</f>
        <v>2043.4918</v>
      </c>
      <c r="G17" s="371">
        <f t="shared" si="0"/>
        <v>142.10200000000009</v>
      </c>
      <c r="H17" s="372"/>
      <c r="I17" s="372"/>
      <c r="J17" s="372"/>
      <c r="K17" s="372"/>
      <c r="L17" s="35"/>
      <c r="N17" s="300">
        <f t="shared" si="1"/>
        <v>0</v>
      </c>
      <c r="P17" s="300">
        <f>'enrolment vs availed_PY'!Q16*0.0001</f>
        <v>2043.4918</v>
      </c>
      <c r="Q17" s="300">
        <f t="shared" si="2"/>
        <v>0</v>
      </c>
      <c r="R17" s="300">
        <f t="shared" si="3"/>
        <v>142.10200000000009</v>
      </c>
    </row>
    <row r="18" spans="1:18" s="14" customFormat="1" x14ac:dyDescent="0.2">
      <c r="A18" s="17">
        <v>7</v>
      </c>
      <c r="B18" s="184" t="s">
        <v>881</v>
      </c>
      <c r="C18" s="371">
        <v>1712.4392000000003</v>
      </c>
      <c r="D18" s="371">
        <v>-93.570200000000114</v>
      </c>
      <c r="E18" s="371">
        <v>1712.4392000000003</v>
      </c>
      <c r="F18" s="371">
        <f>'enrolment vs availed_PY'!Q17*0.0001</f>
        <v>1332.5257000000001</v>
      </c>
      <c r="G18" s="371">
        <f t="shared" si="0"/>
        <v>286.3433</v>
      </c>
      <c r="H18" s="372"/>
      <c r="I18" s="372"/>
      <c r="J18" s="372"/>
      <c r="K18" s="372"/>
      <c r="L18" s="35"/>
      <c r="N18" s="300">
        <f t="shared" si="1"/>
        <v>0</v>
      </c>
      <c r="P18" s="300">
        <f>'enrolment vs availed_PY'!Q17*0.0001</f>
        <v>1332.5257000000001</v>
      </c>
      <c r="Q18" s="300">
        <f t="shared" si="2"/>
        <v>0</v>
      </c>
      <c r="R18" s="300">
        <f t="shared" si="3"/>
        <v>286.3433</v>
      </c>
    </row>
    <row r="19" spans="1:18" s="14" customFormat="1" x14ac:dyDescent="0.2">
      <c r="A19" s="17">
        <v>8</v>
      </c>
      <c r="B19" s="184" t="s">
        <v>882</v>
      </c>
      <c r="C19" s="371">
        <v>3231.5360999999998</v>
      </c>
      <c r="D19" s="371">
        <v>199.82610000000022</v>
      </c>
      <c r="E19" s="371">
        <v>3231.5360999999998</v>
      </c>
      <c r="F19" s="371">
        <f>'enrolment vs availed_PY'!Q18*0.0001</f>
        <v>2903.3389999999999</v>
      </c>
      <c r="G19" s="371">
        <f t="shared" si="0"/>
        <v>528.02320000000009</v>
      </c>
      <c r="H19" s="372"/>
      <c r="I19" s="372"/>
      <c r="J19" s="372"/>
      <c r="K19" s="372"/>
      <c r="L19" s="35"/>
      <c r="N19" s="300">
        <f t="shared" si="1"/>
        <v>0</v>
      </c>
      <c r="P19" s="300">
        <f>'enrolment vs availed_PY'!Q18*0.0001</f>
        <v>2903.3389999999999</v>
      </c>
      <c r="Q19" s="300">
        <f t="shared" si="2"/>
        <v>0</v>
      </c>
      <c r="R19" s="300">
        <f t="shared" si="3"/>
        <v>528.02320000000009</v>
      </c>
    </row>
    <row r="20" spans="1:18" s="14" customFormat="1" x14ac:dyDescent="0.2">
      <c r="A20" s="17">
        <v>9</v>
      </c>
      <c r="B20" s="184" t="s">
        <v>883</v>
      </c>
      <c r="C20" s="371">
        <v>5219.6704</v>
      </c>
      <c r="D20" s="371">
        <v>-1109.3798000000006</v>
      </c>
      <c r="E20" s="371">
        <v>5219.6704</v>
      </c>
      <c r="F20" s="371">
        <f>'enrolment vs availed_PY'!Q19*0.0001</f>
        <v>3773.5096000000003</v>
      </c>
      <c r="G20" s="371">
        <f t="shared" si="0"/>
        <v>336.78099999999904</v>
      </c>
      <c r="H20" s="372"/>
      <c r="I20" s="372"/>
      <c r="J20" s="372"/>
      <c r="K20" s="372"/>
      <c r="L20" s="35"/>
      <c r="N20" s="300">
        <f t="shared" si="1"/>
        <v>0</v>
      </c>
      <c r="O20" s="14">
        <v>-1109.3800000000001</v>
      </c>
      <c r="P20" s="300">
        <f>'enrolment vs availed_PY'!Q19*0.0001</f>
        <v>3773.5096000000003</v>
      </c>
      <c r="Q20" s="300">
        <f t="shared" si="2"/>
        <v>0</v>
      </c>
      <c r="R20" s="300">
        <f t="shared" si="3"/>
        <v>336.78099999999904</v>
      </c>
    </row>
    <row r="21" spans="1:18" s="14" customFormat="1" x14ac:dyDescent="0.2">
      <c r="A21" s="17">
        <v>10</v>
      </c>
      <c r="B21" s="184" t="s">
        <v>884</v>
      </c>
      <c r="C21" s="371">
        <v>1442.2145</v>
      </c>
      <c r="D21" s="371">
        <v>236.14129999999977</v>
      </c>
      <c r="E21" s="371">
        <v>1442.2145</v>
      </c>
      <c r="F21" s="371">
        <f>'enrolment vs availed_PY'!Q20*0.0001</f>
        <v>1359.6994</v>
      </c>
      <c r="G21" s="371">
        <f t="shared" si="0"/>
        <v>318.65639999999985</v>
      </c>
      <c r="H21" s="372"/>
      <c r="I21" s="372"/>
      <c r="J21" s="372"/>
      <c r="K21" s="372"/>
      <c r="L21" s="35"/>
      <c r="N21" s="300">
        <f t="shared" si="1"/>
        <v>0</v>
      </c>
      <c r="P21" s="300">
        <f>'enrolment vs availed_PY'!Q20*0.0001</f>
        <v>1359.6994</v>
      </c>
      <c r="Q21" s="300">
        <f t="shared" si="2"/>
        <v>0</v>
      </c>
      <c r="R21" s="300">
        <f t="shared" si="3"/>
        <v>318.65639999999985</v>
      </c>
    </row>
    <row r="22" spans="1:18" s="14" customFormat="1" x14ac:dyDescent="0.2">
      <c r="A22" s="17">
        <v>11</v>
      </c>
      <c r="B22" s="184" t="s">
        <v>885</v>
      </c>
      <c r="C22" s="371">
        <v>2705.846</v>
      </c>
      <c r="D22" s="371">
        <v>98.191000000000258</v>
      </c>
      <c r="E22" s="371">
        <v>2705.846</v>
      </c>
      <c r="F22" s="371">
        <f>'enrolment vs availed_PY'!Q21*0.0001</f>
        <v>2197.8389000000002</v>
      </c>
      <c r="G22" s="371">
        <f t="shared" si="0"/>
        <v>606.19810000000007</v>
      </c>
      <c r="H22" s="372"/>
      <c r="I22" s="372"/>
      <c r="J22" s="372"/>
      <c r="K22" s="372"/>
      <c r="L22" s="35"/>
      <c r="N22" s="300">
        <f t="shared" si="1"/>
        <v>0</v>
      </c>
      <c r="P22" s="300">
        <f>'enrolment vs availed_PY'!Q21*0.0001</f>
        <v>2197.8389000000002</v>
      </c>
      <c r="Q22" s="300">
        <f t="shared" si="2"/>
        <v>0</v>
      </c>
      <c r="R22" s="300">
        <f t="shared" si="3"/>
        <v>606.19810000000007</v>
      </c>
    </row>
    <row r="23" spans="1:18" s="14" customFormat="1" x14ac:dyDescent="0.2">
      <c r="A23" s="17">
        <v>12</v>
      </c>
      <c r="B23" s="241" t="s">
        <v>886</v>
      </c>
      <c r="C23" s="371">
        <v>2092.0451000000003</v>
      </c>
      <c r="D23" s="371">
        <v>530.14930000000004</v>
      </c>
      <c r="E23" s="371">
        <v>2092.0451000000003</v>
      </c>
      <c r="F23" s="371">
        <f>'enrolment vs availed_PY'!Q22*0.0001</f>
        <v>2215.9184</v>
      </c>
      <c r="G23" s="371">
        <f t="shared" si="0"/>
        <v>406.27600000000029</v>
      </c>
      <c r="H23" s="372"/>
      <c r="I23" s="372"/>
      <c r="J23" s="372"/>
      <c r="K23" s="372"/>
      <c r="L23" s="35"/>
      <c r="N23" s="300">
        <f t="shared" si="1"/>
        <v>0</v>
      </c>
      <c r="P23" s="300">
        <f>'enrolment vs availed_PY'!Q22*0.0001</f>
        <v>2215.9184</v>
      </c>
      <c r="Q23" s="300">
        <f t="shared" si="2"/>
        <v>0</v>
      </c>
      <c r="R23" s="300">
        <f t="shared" si="3"/>
        <v>406.27600000000029</v>
      </c>
    </row>
    <row r="24" spans="1:18" s="14" customFormat="1" x14ac:dyDescent="0.2">
      <c r="A24" s="17">
        <v>13</v>
      </c>
      <c r="B24" s="184" t="s">
        <v>887</v>
      </c>
      <c r="C24" s="371">
        <v>977.6868000000004</v>
      </c>
      <c r="D24" s="371">
        <v>125.9685999999997</v>
      </c>
      <c r="E24" s="371">
        <v>977.6868000000004</v>
      </c>
      <c r="F24" s="371">
        <f>'enrolment vs availed_PY'!Q23*0.0001</f>
        <v>936.8954</v>
      </c>
      <c r="G24" s="371">
        <f t="shared" si="0"/>
        <v>166.7600000000001</v>
      </c>
      <c r="H24" s="372"/>
      <c r="I24" s="372"/>
      <c r="J24" s="372"/>
      <c r="K24" s="372"/>
      <c r="L24" s="35"/>
      <c r="N24" s="300">
        <f t="shared" si="1"/>
        <v>0</v>
      </c>
      <c r="P24" s="300">
        <f>'enrolment vs availed_PY'!Q23*0.0001</f>
        <v>936.8954</v>
      </c>
      <c r="Q24" s="300">
        <f t="shared" si="2"/>
        <v>0</v>
      </c>
      <c r="R24" s="300">
        <f t="shared" si="3"/>
        <v>166.7600000000001</v>
      </c>
    </row>
    <row r="25" spans="1:18" s="14" customFormat="1" x14ac:dyDescent="0.2">
      <c r="A25" s="17">
        <v>14</v>
      </c>
      <c r="B25" s="184" t="s">
        <v>888</v>
      </c>
      <c r="C25" s="371">
        <v>1465.1172000000001</v>
      </c>
      <c r="D25" s="371">
        <v>191.97879999999986</v>
      </c>
      <c r="E25" s="371">
        <v>1465.1172000000001</v>
      </c>
      <c r="F25" s="371">
        <f>'enrolment vs availed_PY'!Q24*0.0001</f>
        <v>1013.7015</v>
      </c>
      <c r="G25" s="371">
        <f t="shared" si="0"/>
        <v>643.39449999999999</v>
      </c>
      <c r="H25" s="372"/>
      <c r="I25" s="372"/>
      <c r="J25" s="372"/>
      <c r="K25" s="372"/>
      <c r="L25" s="371"/>
      <c r="N25" s="300">
        <f t="shared" si="1"/>
        <v>0</v>
      </c>
      <c r="P25" s="300">
        <f>'enrolment vs availed_PY'!Q24*0.0001</f>
        <v>1013.7015</v>
      </c>
      <c r="Q25" s="300">
        <f t="shared" si="2"/>
        <v>0</v>
      </c>
      <c r="R25" s="300">
        <f t="shared" si="3"/>
        <v>643.39449999999999</v>
      </c>
    </row>
    <row r="26" spans="1:18" x14ac:dyDescent="0.2">
      <c r="A26" s="17">
        <v>15</v>
      </c>
      <c r="B26" s="184" t="s">
        <v>889</v>
      </c>
      <c r="C26" s="371">
        <v>2254.7744999999991</v>
      </c>
      <c r="D26" s="370">
        <v>453.70370000000094</v>
      </c>
      <c r="E26" s="370">
        <v>2254.7744999999991</v>
      </c>
      <c r="F26" s="371">
        <f>'enrolment vs availed_PY'!Q25*0.0001</f>
        <v>2182.8204000000001</v>
      </c>
      <c r="G26" s="371">
        <f t="shared" si="0"/>
        <v>525.65779999999995</v>
      </c>
      <c r="H26" s="369"/>
      <c r="I26" s="369"/>
      <c r="J26" s="369"/>
      <c r="K26" s="369"/>
      <c r="L26" s="368"/>
      <c r="N26" s="300">
        <f t="shared" si="1"/>
        <v>0</v>
      </c>
      <c r="P26" s="300">
        <f>'enrolment vs availed_PY'!Q25*0.0001</f>
        <v>2182.8204000000001</v>
      </c>
      <c r="Q26" s="300">
        <f t="shared" si="2"/>
        <v>0</v>
      </c>
      <c r="R26" s="300">
        <f t="shared" si="3"/>
        <v>525.65779999999995</v>
      </c>
    </row>
    <row r="27" spans="1:18" x14ac:dyDescent="0.2">
      <c r="A27" s="17">
        <v>16</v>
      </c>
      <c r="B27" s="184" t="s">
        <v>890</v>
      </c>
      <c r="C27" s="371">
        <v>4375.1865000000007</v>
      </c>
      <c r="D27" s="370">
        <v>54.852899999999863</v>
      </c>
      <c r="E27" s="370">
        <v>4375.1865000000007</v>
      </c>
      <c r="F27" s="371">
        <f>'enrolment vs availed_PY'!Q26*0.0001</f>
        <v>3333.8663000000001</v>
      </c>
      <c r="G27" s="371">
        <f t="shared" si="0"/>
        <v>1096.1731000000004</v>
      </c>
      <c r="H27" s="369"/>
      <c r="I27" s="369"/>
      <c r="J27" s="369"/>
      <c r="K27" s="369"/>
      <c r="L27" s="368"/>
      <c r="N27" s="300">
        <f t="shared" si="1"/>
        <v>0</v>
      </c>
      <c r="P27" s="300">
        <f>'enrolment vs availed_PY'!Q26*0.0001</f>
        <v>3333.8663000000001</v>
      </c>
      <c r="Q27" s="300">
        <f t="shared" si="2"/>
        <v>0</v>
      </c>
      <c r="R27" s="300">
        <f t="shared" si="3"/>
        <v>1096.1731000000004</v>
      </c>
    </row>
    <row r="28" spans="1:18" x14ac:dyDescent="0.2">
      <c r="A28" s="17">
        <v>17</v>
      </c>
      <c r="B28" s="184" t="s">
        <v>891</v>
      </c>
      <c r="C28" s="371">
        <v>3072.9287999999988</v>
      </c>
      <c r="D28" s="370">
        <v>-26.173399999999219</v>
      </c>
      <c r="E28" s="370">
        <v>3072.9287999999988</v>
      </c>
      <c r="F28" s="371">
        <f>'enrolment vs availed_PY'!Q27*0.0001</f>
        <v>2179.5644000000002</v>
      </c>
      <c r="G28" s="371">
        <f t="shared" si="0"/>
        <v>867.19099999999935</v>
      </c>
      <c r="H28" s="369"/>
      <c r="I28" s="369"/>
      <c r="J28" s="369"/>
      <c r="K28" s="369"/>
      <c r="L28" s="368"/>
      <c r="N28" s="300">
        <f t="shared" si="1"/>
        <v>0</v>
      </c>
      <c r="P28" s="300">
        <f>'enrolment vs availed_PY'!Q27*0.0001</f>
        <v>2179.5644000000002</v>
      </c>
      <c r="Q28" s="300">
        <f t="shared" si="2"/>
        <v>0</v>
      </c>
      <c r="R28" s="300">
        <f t="shared" si="3"/>
        <v>867.19099999999935</v>
      </c>
    </row>
    <row r="29" spans="1:18" x14ac:dyDescent="0.2">
      <c r="A29" s="17">
        <v>18</v>
      </c>
      <c r="B29" s="184" t="s">
        <v>892</v>
      </c>
      <c r="C29" s="371">
        <v>2165.7724000000007</v>
      </c>
      <c r="D29" s="370">
        <v>161.55339999999933</v>
      </c>
      <c r="E29" s="370">
        <v>2165.7724000000007</v>
      </c>
      <c r="F29" s="371">
        <f>'enrolment vs availed_PY'!Q28*0.0001</f>
        <v>1891.8301000000001</v>
      </c>
      <c r="G29" s="371">
        <f t="shared" si="0"/>
        <v>435.49569999999994</v>
      </c>
      <c r="H29" s="369"/>
      <c r="I29" s="369"/>
      <c r="J29" s="369"/>
      <c r="K29" s="369"/>
      <c r="L29" s="368"/>
      <c r="N29" s="300">
        <f t="shared" si="1"/>
        <v>0</v>
      </c>
      <c r="P29" s="300">
        <f>'enrolment vs availed_PY'!Q28*0.0001</f>
        <v>1891.8301000000001</v>
      </c>
      <c r="Q29" s="300">
        <f t="shared" si="2"/>
        <v>0</v>
      </c>
      <c r="R29" s="300">
        <f t="shared" si="3"/>
        <v>435.49569999999994</v>
      </c>
    </row>
    <row r="30" spans="1:18" x14ac:dyDescent="0.2">
      <c r="A30" s="17">
        <v>19</v>
      </c>
      <c r="B30" s="184" t="s">
        <v>893</v>
      </c>
      <c r="C30" s="371">
        <v>2633.4737000000005</v>
      </c>
      <c r="D30" s="370">
        <v>-239.44749999999999</v>
      </c>
      <c r="E30" s="370">
        <v>2633.4737000000005</v>
      </c>
      <c r="F30" s="371">
        <f>'enrolment vs availed_PY'!Q29*0.0001</f>
        <v>1757.6519000000001</v>
      </c>
      <c r="G30" s="371">
        <f t="shared" si="0"/>
        <v>636.37430000000018</v>
      </c>
      <c r="H30" s="369"/>
      <c r="I30" s="369"/>
      <c r="J30" s="369"/>
      <c r="K30" s="369"/>
      <c r="L30" s="368"/>
      <c r="N30" s="300">
        <f t="shared" si="1"/>
        <v>0</v>
      </c>
      <c r="P30" s="300">
        <f>'enrolment vs availed_PY'!Q29*0.0001</f>
        <v>1757.6519000000001</v>
      </c>
      <c r="Q30" s="300">
        <f t="shared" si="2"/>
        <v>0</v>
      </c>
      <c r="R30" s="300">
        <f t="shared" si="3"/>
        <v>636.37430000000018</v>
      </c>
    </row>
    <row r="31" spans="1:18" x14ac:dyDescent="0.2">
      <c r="A31" s="17">
        <v>20</v>
      </c>
      <c r="B31" s="184" t="s">
        <v>894</v>
      </c>
      <c r="C31" s="371">
        <v>1618.5234</v>
      </c>
      <c r="D31" s="370">
        <v>-143.7485999999999</v>
      </c>
      <c r="E31" s="370">
        <v>1618.5234</v>
      </c>
      <c r="F31" s="371">
        <f>'enrolment vs availed_PY'!Q30*0.0001</f>
        <v>1255.3381000000002</v>
      </c>
      <c r="G31" s="371">
        <f t="shared" si="0"/>
        <v>219.43669999999997</v>
      </c>
      <c r="H31" s="369"/>
      <c r="I31" s="369"/>
      <c r="J31" s="369"/>
      <c r="K31" s="369"/>
      <c r="L31" s="368"/>
      <c r="N31" s="300">
        <f t="shared" si="1"/>
        <v>0</v>
      </c>
      <c r="P31" s="300">
        <f>'enrolment vs availed_PY'!Q30*0.0001</f>
        <v>1255.3381000000002</v>
      </c>
      <c r="Q31" s="300">
        <f t="shared" si="2"/>
        <v>0</v>
      </c>
      <c r="R31" s="300">
        <f t="shared" si="3"/>
        <v>219.43669999999997</v>
      </c>
    </row>
    <row r="32" spans="1:18" x14ac:dyDescent="0.2">
      <c r="A32" s="17">
        <v>21</v>
      </c>
      <c r="B32" s="184" t="s">
        <v>895</v>
      </c>
      <c r="C32" s="371">
        <v>2941.5898000000002</v>
      </c>
      <c r="D32" s="370">
        <v>-545.55700000000024</v>
      </c>
      <c r="E32" s="370">
        <v>2941.5898000000002</v>
      </c>
      <c r="F32" s="371">
        <f>'enrolment vs availed_PY'!Q31*0.0001</f>
        <v>1727.3700000000001</v>
      </c>
      <c r="G32" s="371">
        <f t="shared" si="0"/>
        <v>668.66279999999983</v>
      </c>
      <c r="H32" s="369"/>
      <c r="I32" s="369"/>
      <c r="J32" s="369"/>
      <c r="K32" s="369"/>
      <c r="L32" s="368"/>
      <c r="N32" s="300">
        <f t="shared" si="1"/>
        <v>0</v>
      </c>
      <c r="P32" s="300">
        <f>'enrolment vs availed_PY'!Q31*0.0001</f>
        <v>1727.3700000000001</v>
      </c>
      <c r="Q32" s="300">
        <f t="shared" si="2"/>
        <v>0</v>
      </c>
      <c r="R32" s="300">
        <f t="shared" si="3"/>
        <v>668.66279999999983</v>
      </c>
    </row>
    <row r="33" spans="1:18" x14ac:dyDescent="0.2">
      <c r="A33" s="17">
        <v>22</v>
      </c>
      <c r="B33" s="184" t="s">
        <v>896</v>
      </c>
      <c r="C33" s="371">
        <v>2235.21</v>
      </c>
      <c r="D33" s="370">
        <v>-392.83210000000008</v>
      </c>
      <c r="E33" s="370">
        <v>2235.21</v>
      </c>
      <c r="F33" s="371">
        <f>'enrolment vs availed_PY'!Q32*0.0001</f>
        <v>1303.7525000000001</v>
      </c>
      <c r="G33" s="371">
        <f t="shared" si="0"/>
        <v>538.6253999999999</v>
      </c>
      <c r="H33" s="369"/>
      <c r="I33" s="369"/>
      <c r="J33" s="369"/>
      <c r="K33" s="369"/>
      <c r="L33" s="368"/>
      <c r="N33" s="300">
        <f t="shared" si="1"/>
        <v>0</v>
      </c>
      <c r="P33" s="300">
        <f>'enrolment vs availed_PY'!Q32*0.0001</f>
        <v>1303.7525000000001</v>
      </c>
      <c r="Q33" s="300">
        <f t="shared" si="2"/>
        <v>0</v>
      </c>
      <c r="R33" s="300">
        <f t="shared" si="3"/>
        <v>538.6253999999999</v>
      </c>
    </row>
    <row r="34" spans="1:18" x14ac:dyDescent="0.2">
      <c r="A34" s="17">
        <v>23</v>
      </c>
      <c r="B34" s="184" t="s">
        <v>897</v>
      </c>
      <c r="C34" s="371">
        <v>3054.0071000000012</v>
      </c>
      <c r="D34" s="370">
        <v>-369.27790000000095</v>
      </c>
      <c r="E34" s="370">
        <v>3054.0071000000012</v>
      </c>
      <c r="F34" s="371">
        <f>'enrolment vs availed_PY'!Q33*0.0001</f>
        <v>2205.4423999999999</v>
      </c>
      <c r="G34" s="371">
        <f t="shared" si="0"/>
        <v>479.28680000000031</v>
      </c>
      <c r="H34" s="369"/>
      <c r="I34" s="369"/>
      <c r="J34" s="369"/>
      <c r="K34" s="369"/>
      <c r="L34" s="368"/>
      <c r="N34" s="300">
        <f t="shared" si="1"/>
        <v>0</v>
      </c>
      <c r="P34" s="300">
        <f>'enrolment vs availed_PY'!Q33*0.0001</f>
        <v>2205.4423999999999</v>
      </c>
      <c r="Q34" s="300">
        <f t="shared" si="2"/>
        <v>0</v>
      </c>
      <c r="R34" s="300">
        <f t="shared" si="3"/>
        <v>479.28680000000031</v>
      </c>
    </row>
    <row r="35" spans="1:18" x14ac:dyDescent="0.2">
      <c r="A35" s="17">
        <v>24</v>
      </c>
      <c r="B35" s="184" t="s">
        <v>898</v>
      </c>
      <c r="C35" s="371">
        <v>2467.2237000000005</v>
      </c>
      <c r="D35" s="370">
        <v>32.085499999999683</v>
      </c>
      <c r="E35" s="370">
        <v>2467.2237000000005</v>
      </c>
      <c r="F35" s="371">
        <f>'enrolment vs availed_PY'!Q34*0.0001</f>
        <v>2511.8535000000002</v>
      </c>
      <c r="G35" s="371">
        <f t="shared" si="0"/>
        <v>-12.544300000000021</v>
      </c>
      <c r="H35" s="369"/>
      <c r="I35" s="369"/>
      <c r="J35" s="369"/>
      <c r="K35" s="369"/>
      <c r="L35" s="368"/>
      <c r="N35" s="300">
        <f t="shared" si="1"/>
        <v>0</v>
      </c>
      <c r="P35" s="300">
        <f>'enrolment vs availed_PY'!Q34*0.0001</f>
        <v>2511.8535000000002</v>
      </c>
      <c r="Q35" s="300">
        <f t="shared" si="2"/>
        <v>0</v>
      </c>
      <c r="R35" s="300">
        <f t="shared" si="3"/>
        <v>-12.544300000000021</v>
      </c>
    </row>
    <row r="36" spans="1:18" s="14" customFormat="1" x14ac:dyDescent="0.2">
      <c r="A36" s="733" t="s">
        <v>15</v>
      </c>
      <c r="B36" s="735"/>
      <c r="C36" s="373">
        <f>SUM(C12:C35)</f>
        <v>57178.270731000011</v>
      </c>
      <c r="D36" s="373">
        <f t="shared" ref="D36:L36" si="4">SUM(D12:D35)</f>
        <v>-664.29743100000167</v>
      </c>
      <c r="E36" s="373">
        <f t="shared" si="4"/>
        <v>57178.270731000011</v>
      </c>
      <c r="F36" s="373">
        <f t="shared" si="4"/>
        <v>46340.1708</v>
      </c>
      <c r="G36" s="373">
        <f t="shared" si="4"/>
        <v>10173.802499999998</v>
      </c>
      <c r="H36" s="373">
        <f t="shared" si="4"/>
        <v>0</v>
      </c>
      <c r="I36" s="373">
        <f t="shared" si="4"/>
        <v>0</v>
      </c>
      <c r="J36" s="373">
        <f t="shared" si="4"/>
        <v>0</v>
      </c>
      <c r="K36" s="373">
        <f t="shared" si="4"/>
        <v>0</v>
      </c>
      <c r="L36" s="373">
        <f t="shared" si="4"/>
        <v>0</v>
      </c>
      <c r="N36" s="300">
        <f>SUM(N12:N35)</f>
        <v>0</v>
      </c>
      <c r="O36" s="300">
        <v>-664.3</v>
      </c>
      <c r="P36" s="300">
        <f>'enrolment vs availed_PY'!Q35*0.0001</f>
        <v>46340.1708</v>
      </c>
      <c r="Q36" s="300">
        <f t="shared" si="2"/>
        <v>0</v>
      </c>
      <c r="R36" s="300">
        <f t="shared" si="3"/>
        <v>10173.802500000013</v>
      </c>
    </row>
    <row r="37" spans="1:18" x14ac:dyDescent="0.2">
      <c r="A37" s="19" t="s">
        <v>656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8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8" x14ac:dyDescent="0.2">
      <c r="A39" s="19"/>
      <c r="B39" s="20" t="s">
        <v>1119</v>
      </c>
      <c r="C39" s="712">
        <f>'T6A_FG_Upy_Utlsn  (2)'!C36</f>
        <v>36572.873700000004</v>
      </c>
      <c r="D39" s="712">
        <f>'T6A_FG_Upy_Utlsn  (2)'!D36</f>
        <v>1901.8690240000035</v>
      </c>
      <c r="E39" s="712">
        <f>'T6A_FG_Upy_Utlsn  (2)'!E36</f>
        <v>34671.001376</v>
      </c>
      <c r="F39" s="712">
        <f>'T6A_FG_Upy_Utlsn  (2)'!F36</f>
        <v>31956.711449999995</v>
      </c>
      <c r="G39" s="712">
        <f>'T6A_FG_Upy_Utlsn  (2)'!G36</f>
        <v>4616.15895</v>
      </c>
      <c r="H39" s="20"/>
      <c r="I39" s="20"/>
      <c r="J39" s="20"/>
      <c r="K39" s="20"/>
      <c r="L39" s="20"/>
    </row>
    <row r="40" spans="1:18" x14ac:dyDescent="0.2">
      <c r="A40" s="19"/>
      <c r="B40" s="20" t="s">
        <v>15</v>
      </c>
      <c r="C40" s="712">
        <f>C36+C39</f>
        <v>93751.144431000022</v>
      </c>
      <c r="D40" s="712">
        <f>D36+D39</f>
        <v>1237.5715930000019</v>
      </c>
      <c r="E40" s="712">
        <f>E36+E39</f>
        <v>91849.272107000012</v>
      </c>
      <c r="F40" s="712">
        <f>F36+F39</f>
        <v>78296.882249999995</v>
      </c>
      <c r="G40" s="712">
        <f>G36+G39</f>
        <v>14789.961449999999</v>
      </c>
      <c r="H40" s="20"/>
      <c r="I40" s="20"/>
      <c r="J40" s="20"/>
      <c r="K40" s="20"/>
      <c r="L40" s="20"/>
    </row>
    <row r="41" spans="1:18" x14ac:dyDescent="0.2">
      <c r="A41" s="19"/>
      <c r="B41" s="20"/>
      <c r="C41" s="20"/>
      <c r="D41" s="715">
        <f>D40/$C$40</f>
        <v>1.320060251542682E-2</v>
      </c>
      <c r="E41" s="715">
        <f>E40/$C$40</f>
        <v>0.97971360951865738</v>
      </c>
      <c r="F41" s="715">
        <f>F40/$C$40</f>
        <v>0.83515654902352454</v>
      </c>
      <c r="G41" s="715">
        <f>G40/$C$40</f>
        <v>0.15775766301055955</v>
      </c>
      <c r="H41" s="20"/>
      <c r="I41" s="20"/>
      <c r="J41" s="20"/>
      <c r="K41" s="20"/>
      <c r="L41" s="20"/>
    </row>
    <row r="42" spans="1:18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8" x14ac:dyDescent="0.2">
      <c r="A43" s="758" t="s">
        <v>1107</v>
      </c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758"/>
    </row>
    <row r="44" spans="1:18" x14ac:dyDescent="0.2">
      <c r="A44" s="758" t="s">
        <v>1108</v>
      </c>
      <c r="B44" s="758"/>
      <c r="C44" s="758"/>
      <c r="D44" s="758"/>
      <c r="E44" s="758"/>
      <c r="F44" s="758"/>
      <c r="G44" s="758"/>
      <c r="H44" s="758"/>
      <c r="I44" s="758"/>
      <c r="J44" s="758"/>
      <c r="K44" s="758"/>
      <c r="L44" s="758"/>
    </row>
    <row r="45" spans="1:18" x14ac:dyDescent="0.2">
      <c r="A45" s="758" t="s">
        <v>1111</v>
      </c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</row>
    <row r="46" spans="1:18" x14ac:dyDescent="0.2">
      <c r="A46" s="670" t="s">
        <v>1114</v>
      </c>
      <c r="B46" s="670"/>
      <c r="C46" s="670"/>
      <c r="D46" s="670"/>
      <c r="E46" s="670"/>
      <c r="F46" s="670"/>
      <c r="G46" s="669"/>
      <c r="H46" s="669"/>
      <c r="I46" s="669"/>
      <c r="J46" s="756" t="s">
        <v>1110</v>
      </c>
      <c r="K46" s="756"/>
      <c r="L46" s="756"/>
    </row>
    <row r="47" spans="1:18" x14ac:dyDescent="0.2">
      <c r="A47" s="670"/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69"/>
    </row>
    <row r="48" spans="1:18" x14ac:dyDescent="0.2">
      <c r="A48" s="879"/>
      <c r="B48" s="879"/>
      <c r="C48" s="879"/>
      <c r="D48" s="879"/>
      <c r="E48" s="879"/>
      <c r="F48" s="879"/>
      <c r="G48" s="879"/>
      <c r="H48" s="879"/>
      <c r="I48" s="879"/>
      <c r="J48" s="879"/>
      <c r="K48" s="879"/>
      <c r="L48" s="879"/>
    </row>
  </sheetData>
  <mergeCells count="16">
    <mergeCell ref="L1:M1"/>
    <mergeCell ref="A2:L2"/>
    <mergeCell ref="A3:L3"/>
    <mergeCell ref="A5:L5"/>
    <mergeCell ref="F7:L7"/>
    <mergeCell ref="I8:L8"/>
    <mergeCell ref="A48:L48"/>
    <mergeCell ref="J46:L46"/>
    <mergeCell ref="A9:A10"/>
    <mergeCell ref="B9:B10"/>
    <mergeCell ref="C9:G9"/>
    <mergeCell ref="H9:L9"/>
    <mergeCell ref="A36:B36"/>
    <mergeCell ref="A45:L45"/>
    <mergeCell ref="A43:L43"/>
    <mergeCell ref="A44:L44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topLeftCell="A28" zoomScale="85" zoomScaleNormal="100" zoomScaleSheetLayoutView="85" workbookViewId="0">
      <selection activeCell="E41" sqref="E41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723" t="s">
        <v>548</v>
      </c>
      <c r="B1" s="723"/>
      <c r="C1" s="723"/>
      <c r="D1" s="723"/>
      <c r="E1" s="259"/>
      <c r="F1" s="259"/>
      <c r="G1" s="259"/>
    </row>
    <row r="2" spans="1:7" x14ac:dyDescent="0.2">
      <c r="A2" s="3" t="s">
        <v>70</v>
      </c>
      <c r="B2" s="3" t="s">
        <v>549</v>
      </c>
      <c r="C2" s="3" t="s">
        <v>550</v>
      </c>
    </row>
    <row r="3" spans="1:7" x14ac:dyDescent="0.2">
      <c r="A3" s="8">
        <v>1</v>
      </c>
      <c r="B3" s="260" t="s">
        <v>551</v>
      </c>
      <c r="C3" s="260" t="s">
        <v>708</v>
      </c>
    </row>
    <row r="4" spans="1:7" x14ac:dyDescent="0.2">
      <c r="A4" s="8">
        <v>2</v>
      </c>
      <c r="B4" s="260" t="s">
        <v>552</v>
      </c>
      <c r="C4" s="260" t="s">
        <v>709</v>
      </c>
    </row>
    <row r="5" spans="1:7" x14ac:dyDescent="0.2">
      <c r="A5" s="8">
        <v>3</v>
      </c>
      <c r="B5" s="260" t="s">
        <v>553</v>
      </c>
      <c r="C5" s="260" t="s">
        <v>833</v>
      </c>
    </row>
    <row r="6" spans="1:7" x14ac:dyDescent="0.2">
      <c r="A6" s="8">
        <v>4</v>
      </c>
      <c r="B6" s="260" t="s">
        <v>554</v>
      </c>
      <c r="C6" s="260" t="s">
        <v>710</v>
      </c>
    </row>
    <row r="7" spans="1:7" x14ac:dyDescent="0.2">
      <c r="A7" s="8">
        <v>5</v>
      </c>
      <c r="B7" s="260" t="s">
        <v>555</v>
      </c>
      <c r="C7" s="260" t="s">
        <v>711</v>
      </c>
    </row>
    <row r="8" spans="1:7" x14ac:dyDescent="0.2">
      <c r="A8" s="8">
        <v>6</v>
      </c>
      <c r="B8" s="260" t="s">
        <v>556</v>
      </c>
      <c r="C8" s="260" t="s">
        <v>712</v>
      </c>
    </row>
    <row r="9" spans="1:7" x14ac:dyDescent="0.2">
      <c r="A9" s="8">
        <v>7</v>
      </c>
      <c r="B9" s="260" t="s">
        <v>557</v>
      </c>
      <c r="C9" s="260" t="s">
        <v>713</v>
      </c>
    </row>
    <row r="10" spans="1:7" x14ac:dyDescent="0.2">
      <c r="A10" s="8">
        <v>8</v>
      </c>
      <c r="B10" s="260" t="s">
        <v>558</v>
      </c>
      <c r="C10" s="260" t="s">
        <v>714</v>
      </c>
    </row>
    <row r="11" spans="1:7" x14ac:dyDescent="0.2">
      <c r="A11" s="8">
        <v>9</v>
      </c>
      <c r="B11" s="260" t="s">
        <v>559</v>
      </c>
      <c r="C11" s="260" t="s">
        <v>836</v>
      </c>
    </row>
    <row r="12" spans="1:7" x14ac:dyDescent="0.2">
      <c r="A12" s="8">
        <v>10</v>
      </c>
      <c r="B12" s="260" t="s">
        <v>677</v>
      </c>
      <c r="C12" s="260" t="s">
        <v>678</v>
      </c>
    </row>
    <row r="13" spans="1:7" x14ac:dyDescent="0.2">
      <c r="A13" s="8">
        <v>11</v>
      </c>
      <c r="B13" s="260" t="s">
        <v>560</v>
      </c>
      <c r="C13" s="260" t="s">
        <v>715</v>
      </c>
    </row>
    <row r="14" spans="1:7" x14ac:dyDescent="0.2">
      <c r="A14" s="8">
        <v>12</v>
      </c>
      <c r="B14" s="260" t="s">
        <v>561</v>
      </c>
      <c r="C14" s="260" t="s">
        <v>716</v>
      </c>
    </row>
    <row r="15" spans="1:7" x14ac:dyDescent="0.2">
      <c r="A15" s="8">
        <v>13</v>
      </c>
      <c r="B15" s="260" t="s">
        <v>562</v>
      </c>
      <c r="C15" s="260" t="s">
        <v>717</v>
      </c>
    </row>
    <row r="16" spans="1:7" x14ac:dyDescent="0.2">
      <c r="A16" s="8">
        <v>14</v>
      </c>
      <c r="B16" s="260" t="s">
        <v>563</v>
      </c>
      <c r="C16" s="260" t="s">
        <v>718</v>
      </c>
    </row>
    <row r="17" spans="1:3" x14ac:dyDescent="0.2">
      <c r="A17" s="8">
        <v>15</v>
      </c>
      <c r="B17" s="260" t="s">
        <v>564</v>
      </c>
      <c r="C17" s="260" t="s">
        <v>719</v>
      </c>
    </row>
    <row r="18" spans="1:3" x14ac:dyDescent="0.2">
      <c r="A18" s="8">
        <v>16</v>
      </c>
      <c r="B18" s="260" t="s">
        <v>565</v>
      </c>
      <c r="C18" s="260" t="s">
        <v>720</v>
      </c>
    </row>
    <row r="19" spans="1:3" x14ac:dyDescent="0.2">
      <c r="A19" s="8">
        <v>17</v>
      </c>
      <c r="B19" s="260" t="s">
        <v>566</v>
      </c>
      <c r="C19" s="260" t="s">
        <v>721</v>
      </c>
    </row>
    <row r="20" spans="1:3" x14ac:dyDescent="0.2">
      <c r="A20" s="8">
        <v>18</v>
      </c>
      <c r="B20" s="260" t="s">
        <v>567</v>
      </c>
      <c r="C20" s="260" t="s">
        <v>722</v>
      </c>
    </row>
    <row r="21" spans="1:3" x14ac:dyDescent="0.2">
      <c r="A21" s="8">
        <v>19</v>
      </c>
      <c r="B21" s="260" t="s">
        <v>568</v>
      </c>
      <c r="C21" s="260" t="s">
        <v>723</v>
      </c>
    </row>
    <row r="22" spans="1:3" x14ac:dyDescent="0.2">
      <c r="A22" s="8">
        <v>20</v>
      </c>
      <c r="B22" s="260" t="s">
        <v>569</v>
      </c>
      <c r="C22" s="260" t="s">
        <v>724</v>
      </c>
    </row>
    <row r="23" spans="1:3" x14ac:dyDescent="0.2">
      <c r="A23" s="8">
        <v>21</v>
      </c>
      <c r="B23" s="260" t="s">
        <v>570</v>
      </c>
      <c r="C23" s="260" t="s">
        <v>837</v>
      </c>
    </row>
    <row r="24" spans="1:3" x14ac:dyDescent="0.2">
      <c r="A24" s="8">
        <v>22</v>
      </c>
      <c r="B24" s="260" t="s">
        <v>571</v>
      </c>
      <c r="C24" s="260" t="s">
        <v>848</v>
      </c>
    </row>
    <row r="25" spans="1:3" x14ac:dyDescent="0.2">
      <c r="A25" s="8">
        <v>23</v>
      </c>
      <c r="B25" s="260" t="s">
        <v>572</v>
      </c>
      <c r="C25" s="260" t="s">
        <v>849</v>
      </c>
    </row>
    <row r="26" spans="1:3" x14ac:dyDescent="0.2">
      <c r="A26" s="8">
        <v>24</v>
      </c>
      <c r="B26" s="260" t="s">
        <v>573</v>
      </c>
      <c r="C26" s="260" t="s">
        <v>725</v>
      </c>
    </row>
    <row r="27" spans="1:3" x14ac:dyDescent="0.2">
      <c r="A27" s="8">
        <v>25</v>
      </c>
      <c r="B27" s="260" t="s">
        <v>574</v>
      </c>
      <c r="C27" s="260" t="s">
        <v>726</v>
      </c>
    </row>
    <row r="28" spans="1:3" x14ac:dyDescent="0.2">
      <c r="A28" s="8">
        <v>26</v>
      </c>
      <c r="B28" s="260" t="s">
        <v>575</v>
      </c>
      <c r="C28" s="260" t="s">
        <v>727</v>
      </c>
    </row>
    <row r="29" spans="1:3" x14ac:dyDescent="0.2">
      <c r="A29" s="8">
        <v>27</v>
      </c>
      <c r="B29" s="260" t="s">
        <v>576</v>
      </c>
      <c r="C29" s="260" t="s">
        <v>577</v>
      </c>
    </row>
    <row r="30" spans="1:3" x14ac:dyDescent="0.2">
      <c r="A30" s="8">
        <v>28</v>
      </c>
      <c r="B30" s="260" t="s">
        <v>578</v>
      </c>
      <c r="C30" s="260" t="s">
        <v>579</v>
      </c>
    </row>
    <row r="31" spans="1:3" x14ac:dyDescent="0.2">
      <c r="A31" s="8">
        <v>29</v>
      </c>
      <c r="B31" s="260" t="s">
        <v>580</v>
      </c>
      <c r="C31" s="260" t="s">
        <v>581</v>
      </c>
    </row>
    <row r="32" spans="1:3" x14ac:dyDescent="0.2">
      <c r="A32" s="8">
        <v>30</v>
      </c>
      <c r="B32" s="260" t="s">
        <v>676</v>
      </c>
      <c r="C32" s="260" t="s">
        <v>675</v>
      </c>
    </row>
    <row r="33" spans="1:3" x14ac:dyDescent="0.2">
      <c r="A33" s="8">
        <v>31</v>
      </c>
      <c r="B33" s="296" t="s">
        <v>871</v>
      </c>
      <c r="C33" s="296" t="s">
        <v>872</v>
      </c>
    </row>
    <row r="34" spans="1:3" x14ac:dyDescent="0.2">
      <c r="A34" s="8">
        <v>32</v>
      </c>
      <c r="B34" s="260" t="s">
        <v>582</v>
      </c>
      <c r="C34" s="260" t="s">
        <v>583</v>
      </c>
    </row>
    <row r="35" spans="1:3" x14ac:dyDescent="0.2">
      <c r="A35" s="8">
        <v>33</v>
      </c>
      <c r="B35" s="260" t="s">
        <v>584</v>
      </c>
      <c r="C35" s="260" t="s">
        <v>583</v>
      </c>
    </row>
    <row r="36" spans="1:3" x14ac:dyDescent="0.2">
      <c r="A36" s="8">
        <v>34</v>
      </c>
      <c r="B36" s="260" t="s">
        <v>585</v>
      </c>
      <c r="C36" s="260" t="s">
        <v>586</v>
      </c>
    </row>
    <row r="37" spans="1:3" x14ac:dyDescent="0.2">
      <c r="A37" s="8">
        <v>35</v>
      </c>
      <c r="B37" s="260" t="s">
        <v>587</v>
      </c>
      <c r="C37" s="260" t="s">
        <v>588</v>
      </c>
    </row>
    <row r="38" spans="1:3" x14ac:dyDescent="0.2">
      <c r="A38" s="8">
        <v>36</v>
      </c>
      <c r="B38" s="260" t="s">
        <v>589</v>
      </c>
      <c r="C38" s="260" t="s">
        <v>590</v>
      </c>
    </row>
    <row r="39" spans="1:3" x14ac:dyDescent="0.2">
      <c r="A39" s="8">
        <v>37</v>
      </c>
      <c r="B39" s="260" t="s">
        <v>591</v>
      </c>
      <c r="C39" s="260" t="s">
        <v>592</v>
      </c>
    </row>
    <row r="40" spans="1:3" x14ac:dyDescent="0.2">
      <c r="A40" s="8">
        <v>38</v>
      </c>
      <c r="B40" s="260" t="s">
        <v>593</v>
      </c>
      <c r="C40" s="260" t="s">
        <v>594</v>
      </c>
    </row>
    <row r="41" spans="1:3" x14ac:dyDescent="0.2">
      <c r="A41" s="8">
        <v>39</v>
      </c>
      <c r="B41" s="260" t="s">
        <v>595</v>
      </c>
      <c r="C41" s="260" t="s">
        <v>596</v>
      </c>
    </row>
    <row r="42" spans="1:3" x14ac:dyDescent="0.2">
      <c r="A42" s="8">
        <v>40</v>
      </c>
      <c r="B42" s="260" t="s">
        <v>597</v>
      </c>
      <c r="C42" s="260" t="s">
        <v>598</v>
      </c>
    </row>
    <row r="43" spans="1:3" x14ac:dyDescent="0.2">
      <c r="A43" s="8">
        <v>41</v>
      </c>
      <c r="B43" s="260" t="s">
        <v>599</v>
      </c>
      <c r="C43" s="260" t="s">
        <v>728</v>
      </c>
    </row>
    <row r="44" spans="1:3" x14ac:dyDescent="0.2">
      <c r="A44" s="8">
        <v>42</v>
      </c>
      <c r="B44" s="260" t="s">
        <v>600</v>
      </c>
      <c r="C44" s="260" t="s">
        <v>601</v>
      </c>
    </row>
    <row r="45" spans="1:3" x14ac:dyDescent="0.2">
      <c r="A45" s="8">
        <v>43</v>
      </c>
      <c r="B45" s="260" t="s">
        <v>602</v>
      </c>
      <c r="C45" s="260" t="s">
        <v>603</v>
      </c>
    </row>
    <row r="46" spans="1:3" x14ac:dyDescent="0.2">
      <c r="A46" s="8">
        <v>44</v>
      </c>
      <c r="B46" s="260" t="s">
        <v>604</v>
      </c>
      <c r="C46" s="260" t="s">
        <v>605</v>
      </c>
    </row>
    <row r="47" spans="1:3" x14ac:dyDescent="0.2">
      <c r="A47" s="8">
        <v>45</v>
      </c>
      <c r="B47" s="260" t="s">
        <v>606</v>
      </c>
      <c r="C47" s="260" t="s">
        <v>607</v>
      </c>
    </row>
    <row r="48" spans="1:3" x14ac:dyDescent="0.2">
      <c r="A48" s="8">
        <v>46</v>
      </c>
      <c r="B48" s="260" t="s">
        <v>608</v>
      </c>
      <c r="C48" s="260" t="s">
        <v>609</v>
      </c>
    </row>
    <row r="49" spans="1:3" x14ac:dyDescent="0.2">
      <c r="A49" s="8">
        <v>47</v>
      </c>
      <c r="B49" s="260" t="s">
        <v>610</v>
      </c>
      <c r="C49" s="260" t="s">
        <v>729</v>
      </c>
    </row>
    <row r="50" spans="1:3" x14ac:dyDescent="0.2">
      <c r="A50" s="8">
        <v>48</v>
      </c>
      <c r="B50" s="260" t="s">
        <v>611</v>
      </c>
      <c r="C50" s="260" t="s">
        <v>730</v>
      </c>
    </row>
    <row r="51" spans="1:3" x14ac:dyDescent="0.2">
      <c r="A51" s="8">
        <v>49</v>
      </c>
      <c r="B51" s="260" t="s">
        <v>612</v>
      </c>
      <c r="C51" s="260" t="s">
        <v>613</v>
      </c>
    </row>
    <row r="52" spans="1:3" x14ac:dyDescent="0.2">
      <c r="A52" s="8">
        <v>50</v>
      </c>
      <c r="B52" s="260" t="s">
        <v>614</v>
      </c>
      <c r="C52" s="260" t="s">
        <v>615</v>
      </c>
    </row>
    <row r="53" spans="1:3" x14ac:dyDescent="0.2">
      <c r="A53" s="8">
        <v>51</v>
      </c>
      <c r="B53" s="260" t="s">
        <v>616</v>
      </c>
      <c r="C53" s="260" t="s">
        <v>683</v>
      </c>
    </row>
    <row r="54" spans="1:3" x14ac:dyDescent="0.2">
      <c r="A54" s="8">
        <v>52</v>
      </c>
      <c r="B54" s="260" t="s">
        <v>617</v>
      </c>
      <c r="C54" s="260" t="s">
        <v>684</v>
      </c>
    </row>
    <row r="55" spans="1:3" x14ac:dyDescent="0.2">
      <c r="A55" s="8">
        <v>53</v>
      </c>
      <c r="B55" s="260" t="s">
        <v>618</v>
      </c>
      <c r="C55" s="260" t="s">
        <v>685</v>
      </c>
    </row>
    <row r="56" spans="1:3" x14ac:dyDescent="0.2">
      <c r="A56" s="8">
        <v>54</v>
      </c>
      <c r="B56" s="260" t="s">
        <v>619</v>
      </c>
      <c r="C56" s="260" t="s">
        <v>686</v>
      </c>
    </row>
    <row r="57" spans="1:3" x14ac:dyDescent="0.2">
      <c r="A57" s="8">
        <v>55</v>
      </c>
      <c r="B57" s="260" t="s">
        <v>620</v>
      </c>
      <c r="C57" s="260" t="s">
        <v>687</v>
      </c>
    </row>
    <row r="58" spans="1:3" x14ac:dyDescent="0.2">
      <c r="A58" s="8">
        <v>56</v>
      </c>
      <c r="B58" s="260" t="s">
        <v>621</v>
      </c>
      <c r="C58" s="260" t="s">
        <v>688</v>
      </c>
    </row>
    <row r="59" spans="1:3" x14ac:dyDescent="0.2">
      <c r="A59" s="8">
        <v>57</v>
      </c>
      <c r="B59" s="260" t="s">
        <v>622</v>
      </c>
      <c r="C59" s="260" t="s">
        <v>689</v>
      </c>
    </row>
    <row r="60" spans="1:3" x14ac:dyDescent="0.2">
      <c r="A60" s="8">
        <v>58</v>
      </c>
      <c r="B60" s="260" t="s">
        <v>623</v>
      </c>
      <c r="C60" s="260" t="s">
        <v>690</v>
      </c>
    </row>
    <row r="61" spans="1:3" x14ac:dyDescent="0.2">
      <c r="A61" s="8">
        <v>59</v>
      </c>
      <c r="B61" s="260" t="s">
        <v>624</v>
      </c>
      <c r="C61" s="260" t="s">
        <v>691</v>
      </c>
    </row>
    <row r="62" spans="1:3" x14ac:dyDescent="0.2">
      <c r="A62" s="8">
        <v>60</v>
      </c>
      <c r="B62" s="260" t="s">
        <v>822</v>
      </c>
      <c r="C62" s="260" t="s">
        <v>829</v>
      </c>
    </row>
    <row r="63" spans="1:3" x14ac:dyDescent="0.2">
      <c r="A63" s="8">
        <v>61</v>
      </c>
      <c r="B63" s="260" t="s">
        <v>625</v>
      </c>
      <c r="C63" s="260" t="s">
        <v>831</v>
      </c>
    </row>
    <row r="64" spans="1:3" x14ac:dyDescent="0.2">
      <c r="A64" s="8">
        <v>62</v>
      </c>
      <c r="B64" s="281" t="s">
        <v>830</v>
      </c>
      <c r="C64" s="260" t="s">
        <v>823</v>
      </c>
    </row>
    <row r="65" spans="1:3" x14ac:dyDescent="0.2">
      <c r="A65" s="8">
        <v>63</v>
      </c>
      <c r="B65" s="260" t="s">
        <v>626</v>
      </c>
      <c r="C65" s="260" t="s">
        <v>692</v>
      </c>
    </row>
    <row r="66" spans="1:3" x14ac:dyDescent="0.2">
      <c r="A66" s="8">
        <v>64</v>
      </c>
      <c r="B66" s="260" t="s">
        <v>627</v>
      </c>
      <c r="C66" s="260" t="s">
        <v>693</v>
      </c>
    </row>
    <row r="67" spans="1:3" x14ac:dyDescent="0.2">
      <c r="A67" s="8">
        <v>65</v>
      </c>
      <c r="B67" s="276" t="s">
        <v>679</v>
      </c>
      <c r="C67" s="276" t="s">
        <v>731</v>
      </c>
    </row>
    <row r="68" spans="1:3" x14ac:dyDescent="0.2">
      <c r="A68" s="8">
        <v>66</v>
      </c>
      <c r="B68" s="276" t="s">
        <v>680</v>
      </c>
      <c r="C68" s="276" t="s">
        <v>719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5"/>
  <sheetViews>
    <sheetView view="pageBreakPreview" topLeftCell="A13" zoomScale="90" zoomScaleNormal="100" zoomScaleSheetLayoutView="90" workbookViewId="0">
      <selection activeCell="E46" sqref="E46"/>
    </sheetView>
  </sheetViews>
  <sheetFormatPr defaultRowHeight="12.75" x14ac:dyDescent="0.2"/>
  <cols>
    <col min="1" max="1" width="6" style="15" customWidth="1"/>
    <col min="2" max="2" width="15.85546875" style="15" bestFit="1" customWidth="1"/>
    <col min="3" max="3" width="10.5703125" style="15" customWidth="1"/>
    <col min="4" max="4" width="10.42578125" style="15" customWidth="1"/>
    <col min="5" max="5" width="10.7109375" style="15" customWidth="1"/>
    <col min="6" max="6" width="12.140625" style="15" customWidth="1"/>
    <col min="7" max="7" width="13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5" width="9.140625" style="15"/>
    <col min="16" max="16" width="9.28515625" style="15" bestFit="1" customWidth="1"/>
    <col min="17" max="16384" width="9.140625" style="15"/>
  </cols>
  <sheetData>
    <row r="1" spans="1:22" customFormat="1" ht="15" x14ac:dyDescent="0.2">
      <c r="D1" s="33"/>
      <c r="E1" s="33"/>
      <c r="F1" s="33"/>
      <c r="G1" s="33"/>
      <c r="H1" s="33"/>
      <c r="I1" s="33"/>
      <c r="J1" s="33"/>
      <c r="K1" s="33"/>
      <c r="L1" s="896" t="s">
        <v>68</v>
      </c>
      <c r="M1" s="896"/>
      <c r="N1" s="896"/>
      <c r="O1" s="39"/>
      <c r="P1" s="39"/>
    </row>
    <row r="2" spans="1:22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41"/>
      <c r="N2" s="41"/>
      <c r="O2" s="41"/>
      <c r="P2" s="41"/>
    </row>
    <row r="3" spans="1:22" customFormat="1" ht="20.25" x14ac:dyDescent="0.3">
      <c r="A3" s="899" t="s">
        <v>694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40"/>
      <c r="N3" s="40"/>
      <c r="O3" s="40"/>
      <c r="P3" s="40"/>
    </row>
    <row r="4" spans="1:22" customFormat="1" ht="10.5" customHeight="1" x14ac:dyDescent="0.2"/>
    <row r="5" spans="1:22" ht="19.5" customHeight="1" x14ac:dyDescent="0.25">
      <c r="A5" s="880" t="s">
        <v>748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</row>
    <row r="6" spans="1:22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22" x14ac:dyDescent="0.2">
      <c r="A7" s="33" t="s">
        <v>1098</v>
      </c>
      <c r="B7" s="33"/>
      <c r="F7" s="897" t="s">
        <v>16</v>
      </c>
      <c r="G7" s="897"/>
      <c r="H7" s="897"/>
      <c r="I7" s="897"/>
      <c r="J7" s="897"/>
      <c r="K7" s="897"/>
      <c r="L7" s="897"/>
    </row>
    <row r="8" spans="1:22" x14ac:dyDescent="0.2">
      <c r="A8" s="14"/>
      <c r="F8" s="16"/>
      <c r="G8" s="94"/>
      <c r="H8" s="94"/>
      <c r="I8" s="870" t="s">
        <v>773</v>
      </c>
      <c r="J8" s="870"/>
      <c r="K8" s="870"/>
      <c r="L8" s="870"/>
    </row>
    <row r="9" spans="1:22" s="14" customFormat="1" x14ac:dyDescent="0.2">
      <c r="A9" s="775" t="s">
        <v>1</v>
      </c>
      <c r="B9" s="775" t="s">
        <v>2</v>
      </c>
      <c r="C9" s="770" t="s">
        <v>17</v>
      </c>
      <c r="D9" s="771"/>
      <c r="E9" s="771"/>
      <c r="F9" s="771"/>
      <c r="G9" s="771"/>
      <c r="H9" s="770" t="s">
        <v>38</v>
      </c>
      <c r="I9" s="771"/>
      <c r="J9" s="771"/>
      <c r="K9" s="771"/>
      <c r="L9" s="771"/>
      <c r="R9" s="28"/>
      <c r="S9" s="29"/>
    </row>
    <row r="10" spans="1:22" s="14" customFormat="1" ht="77.45" customHeight="1" x14ac:dyDescent="0.2">
      <c r="A10" s="775"/>
      <c r="B10" s="775"/>
      <c r="C10" s="5" t="s">
        <v>747</v>
      </c>
      <c r="D10" s="5" t="s">
        <v>780</v>
      </c>
      <c r="E10" s="5" t="s">
        <v>66</v>
      </c>
      <c r="F10" s="5" t="s">
        <v>67</v>
      </c>
      <c r="G10" s="5" t="s">
        <v>657</v>
      </c>
      <c r="H10" s="5" t="s">
        <v>747</v>
      </c>
      <c r="I10" s="5" t="s">
        <v>780</v>
      </c>
      <c r="J10" s="5" t="s">
        <v>66</v>
      </c>
      <c r="K10" s="5" t="s">
        <v>67</v>
      </c>
      <c r="L10" s="5" t="s">
        <v>658</v>
      </c>
    </row>
    <row r="11" spans="1:22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22" s="14" customFormat="1" x14ac:dyDescent="0.2">
      <c r="A12" s="17">
        <v>1</v>
      </c>
      <c r="B12" s="184" t="s">
        <v>875</v>
      </c>
      <c r="C12" s="374">
        <v>1825.3</v>
      </c>
      <c r="D12" s="374">
        <v>458.01512399999956</v>
      </c>
      <c r="E12" s="374">
        <v>1825.3001760000002</v>
      </c>
      <c r="F12" s="374">
        <f>'enrolment vs availed_UPY'!Q11*0.00015</f>
        <v>2021.7820499999998</v>
      </c>
      <c r="G12" s="374">
        <f>D12+E12-F12</f>
        <v>261.53324999999995</v>
      </c>
      <c r="H12" s="375"/>
      <c r="I12" s="375"/>
      <c r="J12" s="375"/>
      <c r="K12" s="375"/>
      <c r="L12" s="374"/>
      <c r="O12" s="300">
        <f>C12-E12</f>
        <v>-1.7600000023776374E-4</v>
      </c>
      <c r="P12" s="300">
        <v>1825.3</v>
      </c>
      <c r="Q12" s="300">
        <v>1825.3001760000002</v>
      </c>
      <c r="R12" s="300"/>
      <c r="S12" s="300">
        <f>E12+D12</f>
        <v>2283.3152999999998</v>
      </c>
      <c r="U12" s="300">
        <f>E12-C12</f>
        <v>1.7600000023776374E-4</v>
      </c>
      <c r="V12" s="300">
        <f>D12*3000/100000</f>
        <v>13.740453719999985</v>
      </c>
    </row>
    <row r="13" spans="1:22" s="14" customFormat="1" x14ac:dyDescent="0.2">
      <c r="A13" s="17">
        <v>2</v>
      </c>
      <c r="B13" s="184" t="s">
        <v>876</v>
      </c>
      <c r="C13" s="374">
        <v>639.6</v>
      </c>
      <c r="D13" s="374">
        <v>55.570949999999925</v>
      </c>
      <c r="E13" s="374">
        <v>639.60165000000006</v>
      </c>
      <c r="F13" s="374">
        <f>'enrolment vs availed_UPY'!Q12*0.00015</f>
        <v>562.66604999999993</v>
      </c>
      <c r="G13" s="374">
        <f t="shared" ref="G13:G35" si="0">D13+E13-F13</f>
        <v>132.50655000000006</v>
      </c>
      <c r="H13" s="375"/>
      <c r="I13" s="375"/>
      <c r="J13" s="375"/>
      <c r="K13" s="375"/>
      <c r="L13" s="374"/>
      <c r="O13" s="300">
        <f t="shared" ref="O13:O35" si="1">C13-E13</f>
        <v>-1.6500000000405635E-3</v>
      </c>
      <c r="P13" s="300">
        <v>639.6</v>
      </c>
      <c r="Q13" s="300">
        <v>639.60165000000006</v>
      </c>
      <c r="R13" s="300"/>
      <c r="S13" s="300">
        <f t="shared" ref="S13:S35" si="2">E13+D13</f>
        <v>695.17259999999999</v>
      </c>
      <c r="U13" s="300">
        <f t="shared" ref="U13:U35" si="3">E13-C13</f>
        <v>1.6500000000405635E-3</v>
      </c>
      <c r="V13" s="300">
        <f t="shared" ref="V13:V35" si="4">D13*3000/100000</f>
        <v>1.6671284999999978</v>
      </c>
    </row>
    <row r="14" spans="1:22" s="14" customFormat="1" x14ac:dyDescent="0.2">
      <c r="A14" s="17">
        <v>3</v>
      </c>
      <c r="B14" s="184" t="s">
        <v>877</v>
      </c>
      <c r="C14" s="374">
        <v>435.15</v>
      </c>
      <c r="D14" s="374">
        <v>135.36409999999989</v>
      </c>
      <c r="E14" s="374">
        <v>435.14530000000002</v>
      </c>
      <c r="F14" s="374">
        <f>'enrolment vs availed_UPY'!Q13*0.00015</f>
        <v>515.79104999999993</v>
      </c>
      <c r="G14" s="374">
        <f t="shared" si="0"/>
        <v>54.718349999999987</v>
      </c>
      <c r="H14" s="375"/>
      <c r="I14" s="375"/>
      <c r="J14" s="375"/>
      <c r="K14" s="375"/>
      <c r="L14" s="374"/>
      <c r="O14" s="300">
        <f t="shared" si="1"/>
        <v>4.6999999999570719E-3</v>
      </c>
      <c r="P14" s="300">
        <v>435.15</v>
      </c>
      <c r="Q14" s="300">
        <v>435.14530000000002</v>
      </c>
      <c r="R14" s="300"/>
      <c r="S14" s="300">
        <f t="shared" si="2"/>
        <v>570.50939999999991</v>
      </c>
      <c r="U14" s="300">
        <f t="shared" si="3"/>
        <v>-4.6999999999570719E-3</v>
      </c>
      <c r="V14" s="300">
        <f t="shared" si="4"/>
        <v>4.0609229999999972</v>
      </c>
    </row>
    <row r="15" spans="1:22" s="14" customFormat="1" x14ac:dyDescent="0.2">
      <c r="A15" s="17">
        <v>4</v>
      </c>
      <c r="B15" s="184" t="s">
        <v>878</v>
      </c>
      <c r="C15" s="374">
        <v>1308.53</v>
      </c>
      <c r="D15" s="374">
        <v>177.17730000000006</v>
      </c>
      <c r="E15" s="374">
        <v>1308.5321999999999</v>
      </c>
      <c r="F15" s="374">
        <f>'enrolment vs availed_UPY'!Q14*0.00015</f>
        <v>1321.7301</v>
      </c>
      <c r="G15" s="374">
        <f t="shared" si="0"/>
        <v>163.97939999999994</v>
      </c>
      <c r="H15" s="375"/>
      <c r="I15" s="375"/>
      <c r="J15" s="375"/>
      <c r="K15" s="375"/>
      <c r="L15" s="374"/>
      <c r="O15" s="300">
        <f t="shared" si="1"/>
        <v>-2.1999999999025022E-3</v>
      </c>
      <c r="P15" s="300">
        <v>1308.53</v>
      </c>
      <c r="Q15" s="300">
        <v>1308.5321999999999</v>
      </c>
      <c r="R15" s="300"/>
      <c r="S15" s="300">
        <f t="shared" si="2"/>
        <v>1485.7094999999999</v>
      </c>
      <c r="U15" s="300">
        <f t="shared" si="3"/>
        <v>2.1999999999025022E-3</v>
      </c>
      <c r="V15" s="300">
        <f t="shared" si="4"/>
        <v>5.3153190000000015</v>
      </c>
    </row>
    <row r="16" spans="1:22" s="14" customFormat="1" x14ac:dyDescent="0.2">
      <c r="A16" s="17">
        <v>5</v>
      </c>
      <c r="B16" s="184" t="s">
        <v>879</v>
      </c>
      <c r="C16" s="374">
        <v>828.22</v>
      </c>
      <c r="D16" s="374">
        <v>-20.002749999999992</v>
      </c>
      <c r="E16" s="374">
        <v>828.21804999999983</v>
      </c>
      <c r="F16" s="374">
        <f>'enrolment vs availed_UPY'!Q15*0.00015</f>
        <v>742.57334999999989</v>
      </c>
      <c r="G16" s="374">
        <f t="shared" si="0"/>
        <v>65.641949999999952</v>
      </c>
      <c r="H16" s="375"/>
      <c r="I16" s="375"/>
      <c r="J16" s="375"/>
      <c r="K16" s="375"/>
      <c r="L16" s="374"/>
      <c r="O16" s="300">
        <f t="shared" si="1"/>
        <v>1.950000000192631E-3</v>
      </c>
      <c r="P16" s="300">
        <v>828.22</v>
      </c>
      <c r="Q16" s="300">
        <v>828.21804999999983</v>
      </c>
      <c r="R16" s="300"/>
      <c r="S16" s="300">
        <f t="shared" si="2"/>
        <v>808.21529999999984</v>
      </c>
      <c r="U16" s="300">
        <f t="shared" si="3"/>
        <v>-1.950000000192631E-3</v>
      </c>
      <c r="V16" s="300">
        <f t="shared" si="4"/>
        <v>-0.60008249999999974</v>
      </c>
    </row>
    <row r="17" spans="1:22" s="14" customFormat="1" x14ac:dyDescent="0.2">
      <c r="A17" s="17">
        <v>6</v>
      </c>
      <c r="B17" s="184" t="s">
        <v>880</v>
      </c>
      <c r="C17" s="374">
        <v>1577.53</v>
      </c>
      <c r="D17" s="374">
        <v>39.475850000000719</v>
      </c>
      <c r="E17" s="374">
        <v>1577.5262499999992</v>
      </c>
      <c r="F17" s="374">
        <f>'enrolment vs availed_UPY'!Q16*0.00015</f>
        <v>1610.4644999999998</v>
      </c>
      <c r="G17" s="374">
        <f t="shared" si="0"/>
        <v>6.5376000000001113</v>
      </c>
      <c r="H17" s="375"/>
      <c r="I17" s="375"/>
      <c r="J17" s="375"/>
      <c r="K17" s="375"/>
      <c r="L17" s="374"/>
      <c r="O17" s="300">
        <f t="shared" si="1"/>
        <v>3.7500000007639755E-3</v>
      </c>
      <c r="P17" s="300">
        <v>1577.53</v>
      </c>
      <c r="Q17" s="300">
        <v>1577.5262499999992</v>
      </c>
      <c r="R17" s="300"/>
      <c r="S17" s="300">
        <f t="shared" si="2"/>
        <v>1617.0020999999999</v>
      </c>
      <c r="U17" s="300">
        <f t="shared" si="3"/>
        <v>-3.7500000007639755E-3</v>
      </c>
      <c r="V17" s="300">
        <f t="shared" si="4"/>
        <v>1.1842755000000216</v>
      </c>
    </row>
    <row r="18" spans="1:22" s="14" customFormat="1" x14ac:dyDescent="0.2">
      <c r="A18" s="17">
        <v>7</v>
      </c>
      <c r="B18" s="184" t="s">
        <v>881</v>
      </c>
      <c r="C18" s="374">
        <v>1553.65</v>
      </c>
      <c r="D18" s="374">
        <v>-26.758299999999963</v>
      </c>
      <c r="E18" s="374">
        <v>1553.6538999999998</v>
      </c>
      <c r="F18" s="374">
        <f>'enrolment vs availed_UPY'!Q17*0.00015</f>
        <v>1026.16545</v>
      </c>
      <c r="G18" s="374">
        <f t="shared" si="0"/>
        <v>500.73014999999987</v>
      </c>
      <c r="H18" s="375"/>
      <c r="I18" s="375"/>
      <c r="J18" s="375"/>
      <c r="K18" s="375"/>
      <c r="L18" s="374"/>
      <c r="O18" s="300">
        <f t="shared" si="1"/>
        <v>-3.8999999997031409E-3</v>
      </c>
      <c r="P18" s="300">
        <v>1553.65</v>
      </c>
      <c r="Q18" s="300">
        <v>1553.6538999999998</v>
      </c>
      <c r="R18" s="300"/>
      <c r="S18" s="300">
        <f t="shared" si="2"/>
        <v>1526.8955999999998</v>
      </c>
      <c r="U18" s="300">
        <f t="shared" si="3"/>
        <v>3.8999999997031409E-3</v>
      </c>
      <c r="V18" s="300">
        <f t="shared" si="4"/>
        <v>-0.80274899999999894</v>
      </c>
    </row>
    <row r="19" spans="1:22" s="14" customFormat="1" x14ac:dyDescent="0.2">
      <c r="A19" s="17">
        <v>8</v>
      </c>
      <c r="B19" s="184" t="s">
        <v>882</v>
      </c>
      <c r="C19" s="374">
        <v>1805.4</v>
      </c>
      <c r="D19" s="374">
        <v>147.35275000000047</v>
      </c>
      <c r="E19" s="374">
        <v>1805.3973499999997</v>
      </c>
      <c r="F19" s="374">
        <f>'enrolment vs availed_UPY'!Q18*0.00015</f>
        <v>1778.3525999999999</v>
      </c>
      <c r="G19" s="374">
        <f t="shared" si="0"/>
        <v>174.39750000000026</v>
      </c>
      <c r="H19" s="375"/>
      <c r="I19" s="375"/>
      <c r="J19" s="375"/>
      <c r="K19" s="375"/>
      <c r="L19" s="374"/>
      <c r="O19" s="300">
        <f t="shared" si="1"/>
        <v>2.6500000003579771E-3</v>
      </c>
      <c r="P19" s="300">
        <v>1805.4</v>
      </c>
      <c r="Q19" s="300">
        <v>1805.3973499999997</v>
      </c>
      <c r="R19" s="300"/>
      <c r="S19" s="300">
        <f t="shared" si="2"/>
        <v>1952.7501000000002</v>
      </c>
      <c r="U19" s="300">
        <f t="shared" si="3"/>
        <v>-2.6500000003579771E-3</v>
      </c>
      <c r="V19" s="300">
        <f t="shared" si="4"/>
        <v>4.4205825000000143</v>
      </c>
    </row>
    <row r="20" spans="1:22" s="14" customFormat="1" x14ac:dyDescent="0.2">
      <c r="A20" s="17">
        <v>9</v>
      </c>
      <c r="B20" s="184" t="s">
        <v>883</v>
      </c>
      <c r="C20" s="374">
        <v>3734.21</v>
      </c>
      <c r="D20" s="374">
        <v>-525.1275999999998</v>
      </c>
      <c r="E20" s="374">
        <v>3734.2143999999998</v>
      </c>
      <c r="F20" s="374">
        <f>'enrolment vs availed_UPY'!Q19*0.00015</f>
        <v>2731.67535</v>
      </c>
      <c r="G20" s="374">
        <f t="shared" si="0"/>
        <v>477.41145000000006</v>
      </c>
      <c r="H20" s="375"/>
      <c r="I20" s="375"/>
      <c r="J20" s="375"/>
      <c r="K20" s="375"/>
      <c r="L20" s="374"/>
      <c r="O20" s="300">
        <f t="shared" si="1"/>
        <v>-4.3999999998050043E-3</v>
      </c>
      <c r="P20" s="300">
        <v>3734.21</v>
      </c>
      <c r="Q20" s="300">
        <v>3734.2143999999998</v>
      </c>
      <c r="R20" s="300"/>
      <c r="S20" s="300">
        <f t="shared" si="2"/>
        <v>3209.0868</v>
      </c>
      <c r="U20" s="300">
        <f t="shared" si="3"/>
        <v>4.3999999998050043E-3</v>
      </c>
      <c r="V20" s="300">
        <f t="shared" si="4"/>
        <v>-15.753827999999993</v>
      </c>
    </row>
    <row r="21" spans="1:22" s="14" customFormat="1" x14ac:dyDescent="0.2">
      <c r="A21" s="17">
        <v>10</v>
      </c>
      <c r="B21" s="184" t="s">
        <v>884</v>
      </c>
      <c r="C21" s="374">
        <v>708.37900000000002</v>
      </c>
      <c r="D21" s="374">
        <v>216.54120000000023</v>
      </c>
      <c r="E21" s="374">
        <v>708.79349999999977</v>
      </c>
      <c r="F21" s="374">
        <f>'enrolment vs availed_UPY'!Q20*0.00015</f>
        <v>869.54339999999991</v>
      </c>
      <c r="G21" s="374">
        <f t="shared" si="0"/>
        <v>55.791300000000092</v>
      </c>
      <c r="H21" s="375"/>
      <c r="I21" s="375"/>
      <c r="J21" s="375"/>
      <c r="K21" s="375"/>
      <c r="L21" s="374"/>
      <c r="O21" s="300">
        <f t="shared" si="1"/>
        <v>-0.41449999999974807</v>
      </c>
      <c r="P21" s="300">
        <v>708.79</v>
      </c>
      <c r="Q21" s="300">
        <v>708.79349999999977</v>
      </c>
      <c r="R21" s="300"/>
      <c r="S21" s="300">
        <f t="shared" si="2"/>
        <v>925.3347</v>
      </c>
      <c r="U21" s="300">
        <f t="shared" si="3"/>
        <v>0.41449999999974807</v>
      </c>
      <c r="V21" s="300">
        <f t="shared" si="4"/>
        <v>6.4962360000000068</v>
      </c>
    </row>
    <row r="22" spans="1:22" s="14" customFormat="1" x14ac:dyDescent="0.2">
      <c r="A22" s="17">
        <v>11</v>
      </c>
      <c r="B22" s="184" t="s">
        <v>885</v>
      </c>
      <c r="C22" s="374">
        <f>'T5A_PLAN_vs_PRFM '!D22*254*0.00015+'T5B_PLAN_vs_PRFM  (2)'!D22*312*0.00015</f>
        <v>1860.2846999999999</v>
      </c>
      <c r="D22" s="374">
        <v>541.08294999999998</v>
      </c>
      <c r="E22" s="374">
        <v>1319.2017499999997</v>
      </c>
      <c r="F22" s="374">
        <f>'enrolment vs availed_UPY'!Q21*0.00015</f>
        <v>1451.3199</v>
      </c>
      <c r="G22" s="374">
        <f t="shared" si="0"/>
        <v>408.96479999999974</v>
      </c>
      <c r="H22" s="375"/>
      <c r="I22" s="375"/>
      <c r="J22" s="375"/>
      <c r="K22" s="375"/>
      <c r="L22" s="374"/>
      <c r="O22" s="300">
        <f t="shared" si="1"/>
        <v>541.08295000000021</v>
      </c>
      <c r="P22" s="300">
        <v>1319.2</v>
      </c>
      <c r="Q22" s="300">
        <v>1319.2017499999997</v>
      </c>
      <c r="R22" s="300"/>
      <c r="S22" s="300">
        <f t="shared" si="2"/>
        <v>1860.2846999999997</v>
      </c>
      <c r="U22" s="300">
        <f t="shared" si="3"/>
        <v>-541.08295000000021</v>
      </c>
      <c r="V22" s="300">
        <f t="shared" si="4"/>
        <v>16.232488499999999</v>
      </c>
    </row>
    <row r="23" spans="1:22" s="14" customFormat="1" x14ac:dyDescent="0.2">
      <c r="A23" s="17">
        <v>12</v>
      </c>
      <c r="B23" s="241" t="s">
        <v>886</v>
      </c>
      <c r="C23" s="374">
        <v>1611.49</v>
      </c>
      <c r="D23" s="374">
        <v>273.97270000000049</v>
      </c>
      <c r="E23" s="374">
        <v>1611.4849999999992</v>
      </c>
      <c r="F23" s="374">
        <f>'enrolment vs availed_UPY'!Q22*0.00015</f>
        <v>1623.0911999999998</v>
      </c>
      <c r="G23" s="374">
        <f t="shared" si="0"/>
        <v>262.36649999999986</v>
      </c>
      <c r="H23" s="375"/>
      <c r="I23" s="375"/>
      <c r="J23" s="375"/>
      <c r="K23" s="375"/>
      <c r="L23" s="374"/>
      <c r="O23" s="300">
        <f t="shared" si="1"/>
        <v>5.0000000007912604E-3</v>
      </c>
      <c r="P23" s="300">
        <v>1611.49</v>
      </c>
      <c r="Q23" s="300">
        <v>1611.4849999999992</v>
      </c>
      <c r="R23" s="300"/>
      <c r="S23" s="300">
        <f t="shared" si="2"/>
        <v>1885.4576999999997</v>
      </c>
      <c r="U23" s="300">
        <f t="shared" si="3"/>
        <v>-5.0000000007912604E-3</v>
      </c>
      <c r="V23" s="300">
        <f t="shared" si="4"/>
        <v>8.2191810000000149</v>
      </c>
    </row>
    <row r="24" spans="1:22" s="14" customFormat="1" x14ac:dyDescent="0.2">
      <c r="A24" s="17">
        <v>13</v>
      </c>
      <c r="B24" s="184" t="s">
        <v>887</v>
      </c>
      <c r="C24" s="374">
        <f>'T5A_PLAN_vs_PRFM '!D24*254*0.00015+'T5B_PLAN_vs_PRFM  (2)'!D24*312*0.00015</f>
        <v>877.21439999999996</v>
      </c>
      <c r="D24" s="374">
        <v>235.42614999999978</v>
      </c>
      <c r="E24" s="374">
        <v>641.78825000000006</v>
      </c>
      <c r="F24" s="374">
        <f>'enrolment vs availed_UPY'!Q23*0.00015</f>
        <v>784.26884999999993</v>
      </c>
      <c r="G24" s="374">
        <f t="shared" si="0"/>
        <v>92.945549999999912</v>
      </c>
      <c r="H24" s="375"/>
      <c r="I24" s="375"/>
      <c r="J24" s="375"/>
      <c r="K24" s="375"/>
      <c r="L24" s="374"/>
      <c r="O24" s="300">
        <f t="shared" si="1"/>
        <v>235.42614999999989</v>
      </c>
      <c r="P24" s="300">
        <v>641.79</v>
      </c>
      <c r="Q24" s="300">
        <v>641.78825000000006</v>
      </c>
      <c r="R24" s="300"/>
      <c r="S24" s="300">
        <f t="shared" si="2"/>
        <v>877.21439999999984</v>
      </c>
      <c r="U24" s="300">
        <f t="shared" si="3"/>
        <v>-235.42614999999989</v>
      </c>
      <c r="V24" s="300">
        <f t="shared" si="4"/>
        <v>7.062784499999994</v>
      </c>
    </row>
    <row r="25" spans="1:22" s="14" customFormat="1" x14ac:dyDescent="0.2">
      <c r="A25" s="17">
        <v>14</v>
      </c>
      <c r="B25" s="184" t="s">
        <v>888</v>
      </c>
      <c r="C25" s="374">
        <f>'T5A_PLAN_vs_PRFM '!D25*254*0.00015+'T5B_PLAN_vs_PRFM  (2)'!D25*312*0.00015</f>
        <v>1187.7293999999999</v>
      </c>
      <c r="D25" s="374">
        <v>192.33910000000014</v>
      </c>
      <c r="E25" s="374">
        <v>995.3902999999998</v>
      </c>
      <c r="F25" s="374">
        <f>'enrolment vs availed_UPY'!Q24*0.00015</f>
        <v>784.35164999999995</v>
      </c>
      <c r="G25" s="374">
        <f t="shared" si="0"/>
        <v>403.37774999999999</v>
      </c>
      <c r="H25" s="375"/>
      <c r="I25" s="375"/>
      <c r="J25" s="375"/>
      <c r="K25" s="375"/>
      <c r="L25" s="374"/>
      <c r="O25" s="300">
        <f t="shared" si="1"/>
        <v>192.33910000000014</v>
      </c>
      <c r="P25" s="300">
        <v>995.39</v>
      </c>
      <c r="Q25" s="300">
        <v>995.3902999999998</v>
      </c>
      <c r="R25" s="300"/>
      <c r="S25" s="300">
        <f t="shared" si="2"/>
        <v>1187.7293999999999</v>
      </c>
      <c r="U25" s="300">
        <f t="shared" si="3"/>
        <v>-192.33910000000014</v>
      </c>
      <c r="V25" s="300">
        <f t="shared" si="4"/>
        <v>5.7701730000000042</v>
      </c>
    </row>
    <row r="26" spans="1:22" x14ac:dyDescent="0.2">
      <c r="A26" s="17">
        <v>15</v>
      </c>
      <c r="B26" s="184" t="s">
        <v>889</v>
      </c>
      <c r="C26" s="374">
        <v>1911.12</v>
      </c>
      <c r="D26" s="342">
        <v>-119.0481999999995</v>
      </c>
      <c r="E26" s="342">
        <v>1911.1197999999993</v>
      </c>
      <c r="F26" s="374">
        <f>'enrolment vs availed_UPY'!Q25*0.00015</f>
        <v>1748.7890999999997</v>
      </c>
      <c r="G26" s="374">
        <f t="shared" si="0"/>
        <v>43.282500000000027</v>
      </c>
      <c r="H26" s="376"/>
      <c r="I26" s="376"/>
      <c r="J26" s="376"/>
      <c r="K26" s="376"/>
      <c r="L26" s="342"/>
      <c r="O26" s="300">
        <f t="shared" si="1"/>
        <v>2.0000000063191692E-4</v>
      </c>
      <c r="P26" s="300">
        <v>1911.12</v>
      </c>
      <c r="Q26" s="300">
        <v>1911.1197999999993</v>
      </c>
      <c r="R26" s="300"/>
      <c r="S26" s="300">
        <f t="shared" si="2"/>
        <v>1792.0715999999998</v>
      </c>
      <c r="U26" s="300">
        <f t="shared" si="3"/>
        <v>-2.0000000063191692E-4</v>
      </c>
      <c r="V26" s="300">
        <f t="shared" si="4"/>
        <v>-3.5714459999999848</v>
      </c>
    </row>
    <row r="27" spans="1:22" x14ac:dyDescent="0.2">
      <c r="A27" s="17">
        <v>16</v>
      </c>
      <c r="B27" s="184" t="s">
        <v>890</v>
      </c>
      <c r="C27" s="374">
        <v>2552.75</v>
      </c>
      <c r="D27" s="342">
        <v>-19.442449999999553</v>
      </c>
      <c r="E27" s="342">
        <v>2552.7495499999995</v>
      </c>
      <c r="F27" s="374">
        <f>'enrolment vs availed_UPY'!Q26*0.00015</f>
        <v>1995.4067999999997</v>
      </c>
      <c r="G27" s="374">
        <f t="shared" si="0"/>
        <v>537.90030000000024</v>
      </c>
      <c r="H27" s="376"/>
      <c r="I27" s="376"/>
      <c r="J27" s="376"/>
      <c r="K27" s="376"/>
      <c r="L27" s="342"/>
      <c r="O27" s="300">
        <f t="shared" si="1"/>
        <v>4.5000000045547495E-4</v>
      </c>
      <c r="P27" s="300">
        <v>2552.75</v>
      </c>
      <c r="Q27" s="300">
        <v>2552.7495499999995</v>
      </c>
      <c r="R27" s="300"/>
      <c r="S27" s="300">
        <f t="shared" si="2"/>
        <v>2533.3071</v>
      </c>
      <c r="U27" s="300">
        <f t="shared" si="3"/>
        <v>-4.5000000045547495E-4</v>
      </c>
      <c r="V27" s="300">
        <f t="shared" si="4"/>
        <v>-0.58327349999998657</v>
      </c>
    </row>
    <row r="28" spans="1:22" x14ac:dyDescent="0.2">
      <c r="A28" s="17">
        <v>17</v>
      </c>
      <c r="B28" s="184" t="s">
        <v>891</v>
      </c>
      <c r="C28" s="374">
        <f>'T5A_PLAN_vs_PRFM '!D28*254*0.00015+'T5B_PLAN_vs_PRFM  (2)'!D28*312*0.00015</f>
        <v>1925.6120999999998</v>
      </c>
      <c r="D28" s="342">
        <v>233.54110000000014</v>
      </c>
      <c r="E28" s="342">
        <v>1692.0709999999997</v>
      </c>
      <c r="F28" s="374">
        <f>'enrolment vs availed_UPY'!Q27*0.00015</f>
        <v>1829.3231999999998</v>
      </c>
      <c r="G28" s="374">
        <f t="shared" si="0"/>
        <v>96.288900000000012</v>
      </c>
      <c r="H28" s="376"/>
      <c r="I28" s="376"/>
      <c r="J28" s="376"/>
      <c r="K28" s="376"/>
      <c r="L28" s="342"/>
      <c r="O28" s="300">
        <f t="shared" si="1"/>
        <v>233.54110000000014</v>
      </c>
      <c r="P28" s="300">
        <v>1692.07</v>
      </c>
      <c r="Q28" s="300">
        <v>1692.0709999999997</v>
      </c>
      <c r="R28" s="300"/>
      <c r="S28" s="300">
        <f t="shared" si="2"/>
        <v>1925.6120999999998</v>
      </c>
      <c r="U28" s="300">
        <f t="shared" si="3"/>
        <v>-233.54110000000014</v>
      </c>
      <c r="V28" s="300">
        <f t="shared" si="4"/>
        <v>7.0062330000000044</v>
      </c>
    </row>
    <row r="29" spans="1:22" x14ac:dyDescent="0.2">
      <c r="A29" s="17">
        <v>18</v>
      </c>
      <c r="B29" s="184" t="s">
        <v>892</v>
      </c>
      <c r="C29" s="374">
        <f>'T5A_PLAN_vs_PRFM '!D29*254*0.00015+'T5B_PLAN_vs_PRFM  (2)'!D29*312*0.00015</f>
        <v>1794.0146999999999</v>
      </c>
      <c r="D29" s="342">
        <v>403.34439999999995</v>
      </c>
      <c r="E29" s="342">
        <v>1390.6703</v>
      </c>
      <c r="F29" s="374">
        <f>'enrolment vs availed_UPY'!Q28*0.00015</f>
        <v>1534.0989</v>
      </c>
      <c r="G29" s="374">
        <f t="shared" si="0"/>
        <v>259.91579999999999</v>
      </c>
      <c r="H29" s="376"/>
      <c r="I29" s="376"/>
      <c r="J29" s="376"/>
      <c r="K29" s="376"/>
      <c r="L29" s="342"/>
      <c r="O29" s="300">
        <f t="shared" si="1"/>
        <v>403.34439999999995</v>
      </c>
      <c r="P29" s="300">
        <v>1390.67</v>
      </c>
      <c r="Q29" s="300">
        <v>1390.6703</v>
      </c>
      <c r="R29" s="300"/>
      <c r="S29" s="300">
        <f t="shared" si="2"/>
        <v>1794.0146999999999</v>
      </c>
      <c r="U29" s="300">
        <f t="shared" si="3"/>
        <v>-403.34439999999995</v>
      </c>
      <c r="V29" s="300">
        <f t="shared" si="4"/>
        <v>12.100332</v>
      </c>
    </row>
    <row r="30" spans="1:22" x14ac:dyDescent="0.2">
      <c r="A30" s="17">
        <v>19</v>
      </c>
      <c r="B30" s="184" t="s">
        <v>893</v>
      </c>
      <c r="C30" s="374">
        <v>1364.74</v>
      </c>
      <c r="D30" s="342">
        <v>-8.970499999999447</v>
      </c>
      <c r="E30" s="342">
        <v>1364.7433999999994</v>
      </c>
      <c r="F30" s="374">
        <f>'enrolment vs availed_UPY'!Q29*0.00015</f>
        <v>1146.7861499999999</v>
      </c>
      <c r="G30" s="374">
        <f t="shared" si="0"/>
        <v>208.98675000000003</v>
      </c>
      <c r="H30" s="376"/>
      <c r="I30" s="376"/>
      <c r="J30" s="376"/>
      <c r="K30" s="376"/>
      <c r="L30" s="342"/>
      <c r="O30" s="300">
        <f t="shared" si="1"/>
        <v>-3.3999999993739038E-3</v>
      </c>
      <c r="P30" s="300">
        <v>1364.74</v>
      </c>
      <c r="Q30" s="300">
        <v>1364.7433999999994</v>
      </c>
      <c r="R30" s="300"/>
      <c r="S30" s="300">
        <f t="shared" si="2"/>
        <v>1355.7728999999999</v>
      </c>
      <c r="U30" s="300">
        <f t="shared" si="3"/>
        <v>3.3999999993739038E-3</v>
      </c>
      <c r="V30" s="300">
        <f t="shared" si="4"/>
        <v>-0.2691149999999834</v>
      </c>
    </row>
    <row r="31" spans="1:22" x14ac:dyDescent="0.2">
      <c r="A31" s="17">
        <v>20</v>
      </c>
      <c r="B31" s="184" t="s">
        <v>894</v>
      </c>
      <c r="C31" s="374">
        <v>915.31</v>
      </c>
      <c r="D31" s="342">
        <v>77.321600000000217</v>
      </c>
      <c r="E31" s="342">
        <v>838.90719999999965</v>
      </c>
      <c r="F31" s="374">
        <f>'enrolment vs availed_UPY'!Q30*0.00015</f>
        <v>797.75579999999991</v>
      </c>
      <c r="G31" s="374">
        <f t="shared" si="0"/>
        <v>118.47299999999996</v>
      </c>
      <c r="H31" s="376"/>
      <c r="I31" s="376"/>
      <c r="J31" s="376"/>
      <c r="K31" s="376"/>
      <c r="L31" s="342"/>
      <c r="O31" s="300">
        <f t="shared" si="1"/>
        <v>76.402800000000298</v>
      </c>
      <c r="P31" s="300">
        <v>838.91</v>
      </c>
      <c r="Q31" s="300">
        <v>838.90719999999965</v>
      </c>
      <c r="R31" s="300"/>
      <c r="S31" s="300">
        <f t="shared" si="2"/>
        <v>916.22879999999986</v>
      </c>
      <c r="U31" s="300">
        <f t="shared" si="3"/>
        <v>-76.402800000000298</v>
      </c>
      <c r="V31" s="300">
        <f t="shared" si="4"/>
        <v>2.3196480000000066</v>
      </c>
    </row>
    <row r="32" spans="1:22" x14ac:dyDescent="0.2">
      <c r="A32" s="17">
        <v>21</v>
      </c>
      <c r="B32" s="184" t="s">
        <v>895</v>
      </c>
      <c r="C32" s="374">
        <v>1054.03</v>
      </c>
      <c r="D32" s="342">
        <v>21.190900000000511</v>
      </c>
      <c r="E32" s="342">
        <v>1054.0261999999996</v>
      </c>
      <c r="F32" s="374">
        <f>'enrolment vs availed_UPY'!Q31*0.00015</f>
        <v>1024.2358499999998</v>
      </c>
      <c r="G32" s="374">
        <f t="shared" si="0"/>
        <v>50.981250000000273</v>
      </c>
      <c r="H32" s="376"/>
      <c r="I32" s="376"/>
      <c r="J32" s="376"/>
      <c r="K32" s="376"/>
      <c r="L32" s="342"/>
      <c r="O32" s="300">
        <f t="shared" si="1"/>
        <v>3.800000000410364E-3</v>
      </c>
      <c r="P32" s="300">
        <v>1054.03</v>
      </c>
      <c r="Q32" s="300">
        <v>1054.0261999999996</v>
      </c>
      <c r="R32" s="300"/>
      <c r="S32" s="300">
        <f t="shared" si="2"/>
        <v>1075.2171000000001</v>
      </c>
      <c r="U32" s="300">
        <f t="shared" si="3"/>
        <v>-3.800000000410364E-3</v>
      </c>
      <c r="V32" s="300">
        <f t="shared" si="4"/>
        <v>0.63572700000001536</v>
      </c>
    </row>
    <row r="33" spans="1:22" x14ac:dyDescent="0.2">
      <c r="A33" s="17">
        <v>22</v>
      </c>
      <c r="B33" s="184" t="s">
        <v>896</v>
      </c>
      <c r="C33" s="374">
        <f>'T5A_PLAN_vs_PRFM '!D33*254*0.00015+'T5B_PLAN_vs_PRFM  (2)'!D33*312*0.00015</f>
        <v>923.69939999999997</v>
      </c>
      <c r="D33" s="342">
        <v>220.13540000000046</v>
      </c>
      <c r="E33" s="342">
        <v>703.5639999999994</v>
      </c>
      <c r="F33" s="374">
        <f>'enrolment vs availed_UPY'!Q32*0.00015</f>
        <v>561.82380000000001</v>
      </c>
      <c r="G33" s="374">
        <f t="shared" si="0"/>
        <v>361.87559999999985</v>
      </c>
      <c r="H33" s="376"/>
      <c r="I33" s="376"/>
      <c r="J33" s="376"/>
      <c r="K33" s="376"/>
      <c r="L33" s="342"/>
      <c r="O33" s="300">
        <f t="shared" si="1"/>
        <v>220.13540000000057</v>
      </c>
      <c r="P33" s="300">
        <v>703.56</v>
      </c>
      <c r="Q33" s="300">
        <v>703.5639999999994</v>
      </c>
      <c r="R33" s="300"/>
      <c r="S33" s="300">
        <f t="shared" si="2"/>
        <v>923.69939999999986</v>
      </c>
      <c r="U33" s="300">
        <f t="shared" si="3"/>
        <v>-220.13540000000057</v>
      </c>
      <c r="V33" s="300">
        <f t="shared" si="4"/>
        <v>6.6040620000000132</v>
      </c>
    </row>
    <row r="34" spans="1:22" x14ac:dyDescent="0.2">
      <c r="A34" s="17">
        <v>23</v>
      </c>
      <c r="B34" s="184" t="s">
        <v>897</v>
      </c>
      <c r="C34" s="374">
        <v>1788.36</v>
      </c>
      <c r="D34" s="342">
        <v>-251.47875000000045</v>
      </c>
      <c r="E34" s="342">
        <v>1788.3565500000004</v>
      </c>
      <c r="F34" s="374">
        <f>'enrolment vs availed_UPY'!Q33*0.00015</f>
        <v>1260.3082499999998</v>
      </c>
      <c r="G34" s="374">
        <f t="shared" si="0"/>
        <v>276.56955000000016</v>
      </c>
      <c r="H34" s="376"/>
      <c r="I34" s="376"/>
      <c r="J34" s="376"/>
      <c r="K34" s="376"/>
      <c r="L34" s="342"/>
      <c r="O34" s="300">
        <f t="shared" si="1"/>
        <v>3.4499999994750397E-3</v>
      </c>
      <c r="P34" s="300">
        <v>1788.36</v>
      </c>
      <c r="Q34" s="300">
        <v>1788.3565500000004</v>
      </c>
      <c r="R34" s="300"/>
      <c r="S34" s="300">
        <f t="shared" si="2"/>
        <v>1536.8778</v>
      </c>
      <c r="U34" s="300">
        <f t="shared" si="3"/>
        <v>-3.4499999994750397E-3</v>
      </c>
      <c r="V34" s="300">
        <f t="shared" si="4"/>
        <v>-7.5443625000000125</v>
      </c>
    </row>
    <row r="35" spans="1:22" x14ac:dyDescent="0.2">
      <c r="A35" s="17">
        <v>24</v>
      </c>
      <c r="B35" s="184" t="s">
        <v>898</v>
      </c>
      <c r="C35" s="374">
        <v>2390.5500000000002</v>
      </c>
      <c r="D35" s="342">
        <v>-555.15400000000022</v>
      </c>
      <c r="E35" s="342">
        <v>2390.5452999999998</v>
      </c>
      <c r="F35" s="374">
        <f>'enrolment vs availed_UPY'!Q34*0.00015</f>
        <v>2234.4080999999996</v>
      </c>
      <c r="G35" s="374">
        <f t="shared" si="0"/>
        <v>-399.0168000000001</v>
      </c>
      <c r="H35" s="376"/>
      <c r="I35" s="376"/>
      <c r="J35" s="376"/>
      <c r="K35" s="376"/>
      <c r="L35" s="342"/>
      <c r="O35" s="300">
        <f t="shared" si="1"/>
        <v>4.7000000004118192E-3</v>
      </c>
      <c r="P35" s="300">
        <v>2390.5500000000002</v>
      </c>
      <c r="Q35" s="300">
        <v>2390.5452999999998</v>
      </c>
      <c r="R35" s="300"/>
      <c r="S35" s="300">
        <f t="shared" si="2"/>
        <v>1835.3912999999995</v>
      </c>
      <c r="U35" s="300">
        <f t="shared" si="3"/>
        <v>-4.7000000004118192E-3</v>
      </c>
      <c r="V35" s="300">
        <f t="shared" si="4"/>
        <v>-16.654620000000008</v>
      </c>
    </row>
    <row r="36" spans="1:22" s="14" customFormat="1" x14ac:dyDescent="0.2">
      <c r="A36" s="733" t="s">
        <v>15</v>
      </c>
      <c r="B36" s="735"/>
      <c r="C36" s="344">
        <f>SUM(C12:C35)</f>
        <v>36572.873700000004</v>
      </c>
      <c r="D36" s="344">
        <f t="shared" ref="D36:L36" si="5">SUM(D12:D35)</f>
        <v>1901.8690240000035</v>
      </c>
      <c r="E36" s="344">
        <f t="shared" si="5"/>
        <v>34671.001376</v>
      </c>
      <c r="F36" s="344">
        <f t="shared" si="5"/>
        <v>31956.711449999995</v>
      </c>
      <c r="G36" s="344">
        <f t="shared" si="5"/>
        <v>4616.15895</v>
      </c>
      <c r="H36" s="344">
        <f t="shared" si="5"/>
        <v>0</v>
      </c>
      <c r="I36" s="344">
        <f t="shared" si="5"/>
        <v>0</v>
      </c>
      <c r="J36" s="344">
        <f t="shared" si="5"/>
        <v>0</v>
      </c>
      <c r="K36" s="344">
        <f t="shared" si="5"/>
        <v>0</v>
      </c>
      <c r="L36" s="344">
        <f t="shared" si="5"/>
        <v>0</v>
      </c>
      <c r="O36" s="300">
        <f>SUM(O12:O35)</f>
        <v>1901.8723240000058</v>
      </c>
      <c r="P36" s="300">
        <f>SUM(P12:P35)</f>
        <v>34671.01</v>
      </c>
      <c r="Q36" s="300">
        <f>SUM(Q12:Q35)</f>
        <v>34671.001376</v>
      </c>
    </row>
    <row r="37" spans="1:22" x14ac:dyDescent="0.2">
      <c r="A37" s="19" t="s">
        <v>656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22" ht="15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22" ht="15.75" customHeight="1" x14ac:dyDescent="0.2">
      <c r="A39" s="14"/>
      <c r="B39" s="14"/>
      <c r="C39" s="14"/>
      <c r="D39" s="300"/>
      <c r="E39" s="300"/>
      <c r="F39" s="300"/>
      <c r="G39" s="14"/>
      <c r="H39" s="14"/>
      <c r="I39" s="14"/>
      <c r="J39" s="14"/>
      <c r="K39" s="14"/>
      <c r="L39" s="14"/>
    </row>
    <row r="40" spans="1:22" ht="14.25" customHeight="1" x14ac:dyDescent="0.2">
      <c r="A40" s="758" t="s">
        <v>1107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</row>
    <row r="41" spans="1:22" x14ac:dyDescent="0.2">
      <c r="A41" s="758" t="s">
        <v>1108</v>
      </c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758"/>
    </row>
    <row r="42" spans="1:22" ht="13.15" customHeight="1" x14ac:dyDescent="0.2">
      <c r="A42" s="758" t="s">
        <v>1111</v>
      </c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758"/>
    </row>
    <row r="43" spans="1:22" ht="13.15" customHeight="1" x14ac:dyDescent="0.2">
      <c r="A43" s="670" t="s">
        <v>1114</v>
      </c>
      <c r="B43" s="670"/>
      <c r="C43" s="670"/>
      <c r="D43" s="670"/>
      <c r="E43" s="670"/>
      <c r="F43" s="670"/>
      <c r="G43" s="669"/>
      <c r="H43" s="669"/>
      <c r="I43" s="669"/>
      <c r="J43" s="756" t="s">
        <v>1110</v>
      </c>
      <c r="K43" s="756"/>
      <c r="L43" s="756"/>
      <c r="M43" s="33"/>
    </row>
    <row r="44" spans="1:22" x14ac:dyDescent="0.2">
      <c r="A44" s="670"/>
      <c r="B44" s="669"/>
      <c r="C44" s="669"/>
      <c r="D44" s="669"/>
      <c r="E44" s="669"/>
      <c r="F44" s="669"/>
      <c r="G44" s="669"/>
      <c r="H44" s="669"/>
      <c r="I44" s="669"/>
      <c r="J44" s="669"/>
      <c r="K44" s="669"/>
      <c r="L44" s="669"/>
    </row>
    <row r="45" spans="1:22" x14ac:dyDescent="0.2">
      <c r="A45" s="879"/>
      <c r="B45" s="879"/>
      <c r="C45" s="879"/>
      <c r="D45" s="879"/>
      <c r="E45" s="879"/>
      <c r="F45" s="879"/>
      <c r="G45" s="879"/>
      <c r="H45" s="879"/>
      <c r="I45" s="879"/>
      <c r="J45" s="879"/>
      <c r="K45" s="879"/>
      <c r="L45" s="879"/>
    </row>
  </sheetData>
  <mergeCells count="16">
    <mergeCell ref="L1:N1"/>
    <mergeCell ref="A2:L2"/>
    <mergeCell ref="A3:L3"/>
    <mergeCell ref="A5:L5"/>
    <mergeCell ref="F7:L7"/>
    <mergeCell ref="I8:L8"/>
    <mergeCell ref="A45:L45"/>
    <mergeCell ref="J43:L43"/>
    <mergeCell ref="A9:A10"/>
    <mergeCell ref="B9:B10"/>
    <mergeCell ref="C9:G9"/>
    <mergeCell ref="H9:L9"/>
    <mergeCell ref="A36:B36"/>
    <mergeCell ref="A42:L42"/>
    <mergeCell ref="A40:L40"/>
    <mergeCell ref="A41:L41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topLeftCell="A5" zoomScale="85" zoomScaleNormal="100" zoomScaleSheetLayoutView="85" workbookViewId="0">
      <selection activeCell="F46" sqref="F46"/>
    </sheetView>
  </sheetViews>
  <sheetFormatPr defaultRowHeight="12.75" x14ac:dyDescent="0.2"/>
  <cols>
    <col min="1" max="1" width="5.7109375" style="135" customWidth="1"/>
    <col min="2" max="2" width="15.42578125" style="135" bestFit="1" customWidth="1"/>
    <col min="3" max="3" width="13" style="135" customWidth="1"/>
    <col min="4" max="4" width="12" style="135" customWidth="1"/>
    <col min="5" max="5" width="12.42578125" style="135" customWidth="1"/>
    <col min="6" max="6" width="12.7109375" style="135" customWidth="1"/>
    <col min="7" max="7" width="13.140625" style="135" customWidth="1"/>
    <col min="8" max="8" width="12.7109375" style="135" customWidth="1"/>
    <col min="9" max="9" width="12.140625" style="135" customWidth="1"/>
    <col min="10" max="10" width="12.140625" style="235" customWidth="1"/>
    <col min="11" max="11" width="14.5703125" style="135" customWidth="1"/>
    <col min="12" max="12" width="13.140625" style="135" customWidth="1"/>
    <col min="13" max="13" width="12.7109375" style="135" customWidth="1"/>
    <col min="14" max="16384" width="9.140625" style="135"/>
  </cols>
  <sheetData>
    <row r="1" spans="1:19" x14ac:dyDescent="0.2">
      <c r="K1" s="787" t="s">
        <v>199</v>
      </c>
      <c r="L1" s="787"/>
      <c r="M1" s="787"/>
    </row>
    <row r="2" spans="1:19" ht="12.75" customHeight="1" x14ac:dyDescent="0.2"/>
    <row r="3" spans="1:19" ht="15.75" x14ac:dyDescent="0.25">
      <c r="B3" s="902" t="s">
        <v>0</v>
      </c>
      <c r="C3" s="902"/>
      <c r="D3" s="902"/>
      <c r="E3" s="902"/>
      <c r="F3" s="902"/>
      <c r="G3" s="902"/>
      <c r="H3" s="902"/>
      <c r="I3" s="902"/>
      <c r="J3" s="902"/>
      <c r="K3" s="902"/>
    </row>
    <row r="4" spans="1:19" ht="20.25" x14ac:dyDescent="0.3">
      <c r="B4" s="903" t="s">
        <v>694</v>
      </c>
      <c r="C4" s="903"/>
      <c r="D4" s="903"/>
      <c r="E4" s="903"/>
      <c r="F4" s="903"/>
      <c r="G4" s="903"/>
      <c r="H4" s="903"/>
      <c r="I4" s="903"/>
      <c r="J4" s="903"/>
      <c r="K4" s="903"/>
    </row>
    <row r="5" spans="1:19" ht="10.5" customHeight="1" x14ac:dyDescent="0.2"/>
    <row r="6" spans="1:19" ht="15.75" x14ac:dyDescent="0.25">
      <c r="A6" s="906" t="s">
        <v>824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</row>
    <row r="7" spans="1:19" ht="15.75" x14ac:dyDescent="0.25">
      <c r="B7" s="136"/>
      <c r="C7" s="136"/>
      <c r="D7" s="136"/>
      <c r="E7" s="136"/>
      <c r="F7" s="136"/>
      <c r="G7" s="136"/>
      <c r="H7" s="136"/>
      <c r="L7" s="905" t="s">
        <v>180</v>
      </c>
      <c r="M7" s="905"/>
    </row>
    <row r="8" spans="1:19" ht="15.75" x14ac:dyDescent="0.25">
      <c r="A8" s="33" t="s">
        <v>1098</v>
      </c>
      <c r="C8" s="136"/>
      <c r="D8" s="136"/>
      <c r="E8" s="136"/>
      <c r="F8" s="136"/>
      <c r="G8" s="870" t="s">
        <v>769</v>
      </c>
      <c r="H8" s="870"/>
      <c r="I8" s="870"/>
      <c r="J8" s="870"/>
      <c r="K8" s="870"/>
      <c r="L8" s="870"/>
      <c r="M8" s="870"/>
    </row>
    <row r="9" spans="1:19" s="363" customFormat="1" x14ac:dyDescent="0.2">
      <c r="A9" s="900" t="s">
        <v>19</v>
      </c>
      <c r="B9" s="900" t="s">
        <v>2</v>
      </c>
      <c r="C9" s="900" t="s">
        <v>749</v>
      </c>
      <c r="D9" s="900" t="s">
        <v>780</v>
      </c>
      <c r="E9" s="900" t="s">
        <v>213</v>
      </c>
      <c r="F9" s="900" t="s">
        <v>212</v>
      </c>
      <c r="G9" s="900"/>
      <c r="H9" s="900" t="s">
        <v>177</v>
      </c>
      <c r="I9" s="900"/>
      <c r="J9" s="904" t="s">
        <v>426</v>
      </c>
      <c r="K9" s="900" t="s">
        <v>179</v>
      </c>
      <c r="L9" s="900" t="s">
        <v>403</v>
      </c>
      <c r="M9" s="900" t="s">
        <v>227</v>
      </c>
    </row>
    <row r="10" spans="1:19" s="363" customFormat="1" x14ac:dyDescent="0.2">
      <c r="A10" s="900"/>
      <c r="B10" s="900"/>
      <c r="C10" s="900"/>
      <c r="D10" s="900"/>
      <c r="E10" s="900"/>
      <c r="F10" s="900"/>
      <c r="G10" s="900"/>
      <c r="H10" s="900"/>
      <c r="I10" s="900"/>
      <c r="J10" s="904"/>
      <c r="K10" s="900"/>
      <c r="L10" s="900"/>
      <c r="M10" s="900"/>
    </row>
    <row r="11" spans="1:19" s="363" customFormat="1" ht="27" customHeight="1" x14ac:dyDescent="0.2">
      <c r="A11" s="900"/>
      <c r="B11" s="900"/>
      <c r="C11" s="900"/>
      <c r="D11" s="900"/>
      <c r="E11" s="900"/>
      <c r="F11" s="653" t="s">
        <v>178</v>
      </c>
      <c r="G11" s="653" t="s">
        <v>228</v>
      </c>
      <c r="H11" s="653" t="s">
        <v>178</v>
      </c>
      <c r="I11" s="653" t="s">
        <v>228</v>
      </c>
      <c r="J11" s="904"/>
      <c r="K11" s="900"/>
      <c r="L11" s="900"/>
      <c r="M11" s="900"/>
    </row>
    <row r="12" spans="1:19" s="363" customFormat="1" x14ac:dyDescent="0.2">
      <c r="A12" s="206">
        <v>1</v>
      </c>
      <c r="B12" s="206">
        <v>2</v>
      </c>
      <c r="C12" s="206">
        <v>3</v>
      </c>
      <c r="D12" s="206">
        <v>4</v>
      </c>
      <c r="E12" s="206">
        <v>5</v>
      </c>
      <c r="F12" s="206">
        <v>6</v>
      </c>
      <c r="G12" s="206">
        <v>7</v>
      </c>
      <c r="H12" s="206">
        <v>8</v>
      </c>
      <c r="I12" s="206">
        <v>9</v>
      </c>
      <c r="J12" s="206">
        <v>10</v>
      </c>
      <c r="K12" s="206">
        <v>11</v>
      </c>
      <c r="L12" s="206">
        <v>12</v>
      </c>
      <c r="M12" s="206">
        <v>13</v>
      </c>
    </row>
    <row r="13" spans="1:19" s="363" customFormat="1" x14ac:dyDescent="0.2">
      <c r="A13" s="390">
        <v>1</v>
      </c>
      <c r="B13" s="393" t="s">
        <v>875</v>
      </c>
      <c r="C13" s="391">
        <f>('T6_FG_py_Utlsn (2)'!C12+'T6A_FG_Upy_Utlsn  (2)'!C12)*3000/100000</f>
        <v>144.21264693000001</v>
      </c>
      <c r="D13" s="662">
        <v>-22.432801500000089</v>
      </c>
      <c r="E13" s="391">
        <v>144.21265</v>
      </c>
      <c r="F13" s="391">
        <f>H13</f>
        <v>4807.0883333333331</v>
      </c>
      <c r="G13" s="391">
        <f>I13</f>
        <v>144.21265</v>
      </c>
      <c r="H13" s="391">
        <f>I13*100000/3000</f>
        <v>4807.0883333333331</v>
      </c>
      <c r="I13" s="391">
        <v>144.21265</v>
      </c>
      <c r="J13" s="392">
        <f>G13-I13</f>
        <v>0</v>
      </c>
      <c r="K13" s="391">
        <f>D13+E13-I13</f>
        <v>-22.432801500000096</v>
      </c>
      <c r="L13" s="391">
        <v>71.400000000000006</v>
      </c>
      <c r="M13" s="392">
        <v>0</v>
      </c>
      <c r="O13" s="538">
        <v>83.785319999999999</v>
      </c>
      <c r="P13" s="538">
        <v>71.400000000000006</v>
      </c>
      <c r="S13" s="363">
        <f>23.2+119.96+-518.17+1005.15+472.14+6626.21+-750.72+13250.48+57.06</f>
        <v>20285.310000000001</v>
      </c>
    </row>
    <row r="14" spans="1:19" s="363" customFormat="1" x14ac:dyDescent="0.2">
      <c r="A14" s="390">
        <v>2</v>
      </c>
      <c r="B14" s="393" t="s">
        <v>876</v>
      </c>
      <c r="C14" s="391">
        <f>('T6_FG_py_Utlsn (2)'!C13+'T6A_FG_Upy_Utlsn  (2)'!C13)*3000/100000</f>
        <v>57.94934700000001</v>
      </c>
      <c r="D14" s="662">
        <v>-2.7359999998566309E-4</v>
      </c>
      <c r="E14" s="391">
        <v>57.949399999999997</v>
      </c>
      <c r="F14" s="391">
        <f t="shared" ref="F14:F36" si="0">H14</f>
        <v>1931.6466666666668</v>
      </c>
      <c r="G14" s="391">
        <f t="shared" ref="G14:G36" si="1">I14</f>
        <v>57.949399999999997</v>
      </c>
      <c r="H14" s="391">
        <f t="shared" ref="H14:H36" si="2">I14*100000/3000</f>
        <v>1931.6466666666668</v>
      </c>
      <c r="I14" s="391">
        <v>57.949399999999997</v>
      </c>
      <c r="J14" s="392">
        <f t="shared" ref="J14:J36" si="3">G14-I14</f>
        <v>0</v>
      </c>
      <c r="K14" s="391">
        <f t="shared" ref="K14:K36" si="4">D14+E14-I14</f>
        <v>-2.7359999998566309E-4</v>
      </c>
      <c r="L14" s="391">
        <v>80.44</v>
      </c>
      <c r="M14" s="392">
        <v>0</v>
      </c>
      <c r="O14" s="538">
        <v>80.44</v>
      </c>
      <c r="P14" s="538">
        <v>80.44</v>
      </c>
    </row>
    <row r="15" spans="1:19" s="363" customFormat="1" x14ac:dyDescent="0.2">
      <c r="A15" s="390">
        <v>3</v>
      </c>
      <c r="B15" s="393" t="s">
        <v>877</v>
      </c>
      <c r="C15" s="391">
        <f>('T6_FG_py_Utlsn (2)'!C14+'T6A_FG_Upy_Utlsn  (2)'!C14)*3000/100000</f>
        <v>40.088082</v>
      </c>
      <c r="D15" s="662">
        <v>-4.4800000019051822E-5</v>
      </c>
      <c r="E15" s="391">
        <v>40.087940000000003</v>
      </c>
      <c r="F15" s="391">
        <f t="shared" si="0"/>
        <v>1336.2646666666669</v>
      </c>
      <c r="G15" s="391">
        <f t="shared" si="1"/>
        <v>40.087940000000003</v>
      </c>
      <c r="H15" s="391">
        <f t="shared" si="2"/>
        <v>1336.2646666666669</v>
      </c>
      <c r="I15" s="391">
        <v>40.087940000000003</v>
      </c>
      <c r="J15" s="392">
        <f t="shared" si="3"/>
        <v>0</v>
      </c>
      <c r="K15" s="391">
        <f t="shared" si="4"/>
        <v>-4.4800000019051822E-5</v>
      </c>
      <c r="L15" s="391">
        <v>44.77</v>
      </c>
      <c r="M15" s="392">
        <v>0</v>
      </c>
      <c r="O15" s="538">
        <v>25.799379999999999</v>
      </c>
      <c r="P15" s="538">
        <v>44.77</v>
      </c>
    </row>
    <row r="16" spans="1:19" s="363" customFormat="1" x14ac:dyDescent="0.2">
      <c r="A16" s="390">
        <v>4</v>
      </c>
      <c r="B16" s="393" t="s">
        <v>878</v>
      </c>
      <c r="C16" s="391">
        <f>('T6_FG_py_Utlsn (2)'!C15+'T6A_FG_Upy_Utlsn  (2)'!C15)*3000/100000</f>
        <v>117.338607</v>
      </c>
      <c r="D16" s="662">
        <v>3.3700000017233833E-5</v>
      </c>
      <c r="E16" s="391">
        <v>117.33867000000001</v>
      </c>
      <c r="F16" s="391">
        <f t="shared" si="0"/>
        <v>3911.2890000000002</v>
      </c>
      <c r="G16" s="391">
        <f t="shared" si="1"/>
        <v>117.33867000000001</v>
      </c>
      <c r="H16" s="391">
        <f t="shared" si="2"/>
        <v>3911.2890000000002</v>
      </c>
      <c r="I16" s="391">
        <v>117.33867000000001</v>
      </c>
      <c r="J16" s="392">
        <f t="shared" si="3"/>
        <v>0</v>
      </c>
      <c r="K16" s="391">
        <f t="shared" si="4"/>
        <v>3.3700000017233833E-5</v>
      </c>
      <c r="L16" s="391">
        <v>120.48</v>
      </c>
      <c r="M16" s="392">
        <v>0</v>
      </c>
      <c r="O16" s="538">
        <v>58.62</v>
      </c>
      <c r="P16" s="538">
        <v>120.48</v>
      </c>
    </row>
    <row r="17" spans="1:16" s="363" customFormat="1" x14ac:dyDescent="0.2">
      <c r="A17" s="390">
        <v>5</v>
      </c>
      <c r="B17" s="393" t="s">
        <v>879</v>
      </c>
      <c r="C17" s="391">
        <f>('T6_FG_py_Utlsn (2)'!C16+'T6A_FG_Upy_Utlsn  (2)'!C16)*3000/100000</f>
        <v>67.467264</v>
      </c>
      <c r="D17" s="662">
        <v>-1.6599999973720969E-5</v>
      </c>
      <c r="E17" s="391">
        <v>67.467209999999994</v>
      </c>
      <c r="F17" s="391">
        <f t="shared" si="0"/>
        <v>2248.9069999999997</v>
      </c>
      <c r="G17" s="391">
        <f t="shared" si="1"/>
        <v>67.467209999999994</v>
      </c>
      <c r="H17" s="391">
        <f t="shared" si="2"/>
        <v>2248.9069999999997</v>
      </c>
      <c r="I17" s="391">
        <v>67.467209999999994</v>
      </c>
      <c r="J17" s="392">
        <f t="shared" si="3"/>
        <v>0</v>
      </c>
      <c r="K17" s="391">
        <f t="shared" si="4"/>
        <v>-1.6599999980826396E-5</v>
      </c>
      <c r="L17" s="391">
        <v>35.43</v>
      </c>
      <c r="M17" s="392">
        <v>0</v>
      </c>
      <c r="O17" s="538">
        <v>93.918000000000006</v>
      </c>
      <c r="P17" s="538">
        <v>35.43</v>
      </c>
    </row>
    <row r="18" spans="1:16" s="363" customFormat="1" x14ac:dyDescent="0.2">
      <c r="A18" s="390">
        <v>6</v>
      </c>
      <c r="B18" s="393" t="s">
        <v>880</v>
      </c>
      <c r="C18" s="391">
        <f>('T6_FG_py_Utlsn (2)'!C17+'T6A_FG_Upy_Utlsn  (2)'!C17)*3000/100000</f>
        <v>116.76471900000003</v>
      </c>
      <c r="D18" s="662">
        <v>-146.89749170000002</v>
      </c>
      <c r="E18" s="391">
        <v>116.76461</v>
      </c>
      <c r="F18" s="391">
        <f t="shared" si="0"/>
        <v>3892.1536666666666</v>
      </c>
      <c r="G18" s="391">
        <f t="shared" si="1"/>
        <v>116.76461</v>
      </c>
      <c r="H18" s="391">
        <f t="shared" si="2"/>
        <v>3892.1536666666666</v>
      </c>
      <c r="I18" s="391">
        <v>116.76461</v>
      </c>
      <c r="J18" s="392">
        <f t="shared" si="3"/>
        <v>0</v>
      </c>
      <c r="K18" s="391">
        <f t="shared" si="4"/>
        <v>-146.89749170000002</v>
      </c>
      <c r="L18" s="391">
        <v>111.56</v>
      </c>
      <c r="M18" s="392">
        <v>0</v>
      </c>
      <c r="O18" s="538">
        <v>52.562649999999998</v>
      </c>
      <c r="P18" s="538">
        <v>111.56</v>
      </c>
    </row>
    <row r="19" spans="1:16" s="363" customFormat="1" x14ac:dyDescent="0.2">
      <c r="A19" s="390">
        <v>7</v>
      </c>
      <c r="B19" s="393" t="s">
        <v>881</v>
      </c>
      <c r="C19" s="391">
        <f>('T6_FG_py_Utlsn (2)'!C18+'T6A_FG_Upy_Utlsn  (2)'!C18)*3000/100000</f>
        <v>97.982676000000012</v>
      </c>
      <c r="D19" s="662">
        <v>3.899999967416079E-6</v>
      </c>
      <c r="E19" s="391">
        <v>97.982789999999994</v>
      </c>
      <c r="F19" s="391">
        <f t="shared" si="0"/>
        <v>3266.0929999999998</v>
      </c>
      <c r="G19" s="391">
        <f t="shared" si="1"/>
        <v>97.982789999999994</v>
      </c>
      <c r="H19" s="391">
        <f t="shared" si="2"/>
        <v>3266.0929999999998</v>
      </c>
      <c r="I19" s="391">
        <v>97.982789999999994</v>
      </c>
      <c r="J19" s="392">
        <f t="shared" si="3"/>
        <v>0</v>
      </c>
      <c r="K19" s="391">
        <f t="shared" si="4"/>
        <v>3.899999967416079E-6</v>
      </c>
      <c r="L19" s="391">
        <v>66.77</v>
      </c>
      <c r="M19" s="392">
        <v>0</v>
      </c>
      <c r="O19" s="538">
        <v>42.29</v>
      </c>
      <c r="P19" s="538">
        <v>66.77</v>
      </c>
    </row>
    <row r="20" spans="1:16" s="363" customFormat="1" x14ac:dyDescent="0.2">
      <c r="A20" s="390">
        <v>8</v>
      </c>
      <c r="B20" s="393" t="s">
        <v>882</v>
      </c>
      <c r="C20" s="391">
        <f>('T6_FG_py_Utlsn (2)'!C19+'T6A_FG_Upy_Utlsn  (2)'!C19)*3000/100000</f>
        <v>151.10808299999999</v>
      </c>
      <c r="D20" s="662">
        <v>-2.7600000009897485E-5</v>
      </c>
      <c r="E20" s="391">
        <v>151.108</v>
      </c>
      <c r="F20" s="391">
        <f t="shared" si="0"/>
        <v>5036.9333333333334</v>
      </c>
      <c r="G20" s="391">
        <f t="shared" si="1"/>
        <v>151.108</v>
      </c>
      <c r="H20" s="391">
        <f t="shared" si="2"/>
        <v>5036.9333333333334</v>
      </c>
      <c r="I20" s="391">
        <v>151.108</v>
      </c>
      <c r="J20" s="392">
        <f t="shared" si="3"/>
        <v>0</v>
      </c>
      <c r="K20" s="391">
        <f t="shared" si="4"/>
        <v>-2.7600000009897485E-5</v>
      </c>
      <c r="L20" s="391">
        <v>150.78</v>
      </c>
      <c r="M20" s="392">
        <v>0</v>
      </c>
      <c r="O20" s="538">
        <v>86.63</v>
      </c>
      <c r="P20" s="538">
        <v>150.78</v>
      </c>
    </row>
    <row r="21" spans="1:16" s="363" customFormat="1" x14ac:dyDescent="0.2">
      <c r="A21" s="390">
        <v>9</v>
      </c>
      <c r="B21" s="393" t="s">
        <v>883</v>
      </c>
      <c r="C21" s="391">
        <f>('T6_FG_py_Utlsn (2)'!C20+'T6A_FG_Upy_Utlsn  (2)'!C20)*3000/100000</f>
        <v>268.61641199999997</v>
      </c>
      <c r="D21" s="662">
        <v>2.5500000006672963E-5</v>
      </c>
      <c r="E21" s="391">
        <v>268.61653999999999</v>
      </c>
      <c r="F21" s="391">
        <f t="shared" si="0"/>
        <v>8953.8846666666668</v>
      </c>
      <c r="G21" s="391">
        <f t="shared" si="1"/>
        <v>268.61653999999999</v>
      </c>
      <c r="H21" s="391">
        <f t="shared" si="2"/>
        <v>8953.8846666666668</v>
      </c>
      <c r="I21" s="391">
        <v>268.61653999999999</v>
      </c>
      <c r="J21" s="392">
        <f t="shared" si="3"/>
        <v>0</v>
      </c>
      <c r="K21" s="391">
        <f t="shared" si="4"/>
        <v>2.5499999992462108E-5</v>
      </c>
      <c r="L21" s="391">
        <v>327.7</v>
      </c>
      <c r="M21" s="392">
        <v>0</v>
      </c>
      <c r="O21" s="538">
        <v>22.876799999999999</v>
      </c>
      <c r="P21" s="538">
        <v>327.7</v>
      </c>
    </row>
    <row r="22" spans="1:16" s="363" customFormat="1" x14ac:dyDescent="0.2">
      <c r="A22" s="390">
        <v>10</v>
      </c>
      <c r="B22" s="393" t="s">
        <v>884</v>
      </c>
      <c r="C22" s="391">
        <f>('T6_FG_py_Utlsn (2)'!C21+'T6A_FG_Upy_Utlsn  (2)'!C21)*3000/100000</f>
        <v>64.517804999999996</v>
      </c>
      <c r="D22" s="662">
        <v>-1.460000004271933E-5</v>
      </c>
      <c r="E22" s="391">
        <v>64.530240000000006</v>
      </c>
      <c r="F22" s="391">
        <f t="shared" si="0"/>
        <v>2151.0080000000003</v>
      </c>
      <c r="G22" s="391">
        <f t="shared" si="1"/>
        <v>64.530240000000006</v>
      </c>
      <c r="H22" s="391">
        <f t="shared" si="2"/>
        <v>2151.0080000000003</v>
      </c>
      <c r="I22" s="391">
        <v>64.530240000000006</v>
      </c>
      <c r="J22" s="392">
        <f t="shared" si="3"/>
        <v>0</v>
      </c>
      <c r="K22" s="391">
        <f t="shared" si="4"/>
        <v>-1.460000004271933E-5</v>
      </c>
      <c r="L22" s="391">
        <v>276.8</v>
      </c>
      <c r="M22" s="392">
        <v>0</v>
      </c>
      <c r="O22" s="538"/>
      <c r="P22" s="538">
        <v>276.8</v>
      </c>
    </row>
    <row r="23" spans="1:16" s="363" customFormat="1" x14ac:dyDescent="0.2">
      <c r="A23" s="390">
        <v>11</v>
      </c>
      <c r="B23" s="393" t="s">
        <v>885</v>
      </c>
      <c r="C23" s="391">
        <f>('T6_FG_py_Utlsn (2)'!C22+'T6A_FG_Upy_Utlsn  (2)'!C22)*3000/100000</f>
        <v>136.98392100000001</v>
      </c>
      <c r="D23" s="662">
        <v>2.5300000061179162E-5</v>
      </c>
      <c r="E23" s="391">
        <v>120.75143</v>
      </c>
      <c r="F23" s="391">
        <f t="shared" si="0"/>
        <v>4025.0476666666668</v>
      </c>
      <c r="G23" s="391">
        <f t="shared" si="1"/>
        <v>120.75143</v>
      </c>
      <c r="H23" s="391">
        <f t="shared" si="2"/>
        <v>4025.0476666666668</v>
      </c>
      <c r="I23" s="391">
        <v>120.75143</v>
      </c>
      <c r="J23" s="392">
        <f t="shared" si="3"/>
        <v>0</v>
      </c>
      <c r="K23" s="391">
        <f t="shared" si="4"/>
        <v>2.5300000061179162E-5</v>
      </c>
      <c r="L23" s="391">
        <v>97.78</v>
      </c>
      <c r="M23" s="392">
        <v>0</v>
      </c>
      <c r="O23" s="538">
        <v>163.71</v>
      </c>
      <c r="P23" s="538">
        <v>97.78</v>
      </c>
    </row>
    <row r="24" spans="1:16" s="363" customFormat="1" x14ac:dyDescent="0.2">
      <c r="A24" s="390">
        <v>12</v>
      </c>
      <c r="B24" s="393" t="s">
        <v>886</v>
      </c>
      <c r="C24" s="391">
        <f>('T6_FG_py_Utlsn (2)'!C23+'T6A_FG_Upy_Utlsn  (2)'!C23)*3000/100000</f>
        <v>111.106053</v>
      </c>
      <c r="D24" s="662">
        <v>-165.26988599999999</v>
      </c>
      <c r="E24" s="391">
        <v>111.10589999999999</v>
      </c>
      <c r="F24" s="391">
        <f t="shared" si="0"/>
        <v>3703.53</v>
      </c>
      <c r="G24" s="391">
        <f t="shared" si="1"/>
        <v>111.10589999999999</v>
      </c>
      <c r="H24" s="391">
        <f t="shared" si="2"/>
        <v>3703.53</v>
      </c>
      <c r="I24" s="391">
        <v>111.10589999999999</v>
      </c>
      <c r="J24" s="392">
        <f t="shared" si="3"/>
        <v>0</v>
      </c>
      <c r="K24" s="391">
        <f t="shared" si="4"/>
        <v>-165.26988599999999</v>
      </c>
      <c r="L24" s="391">
        <v>227.79000000000002</v>
      </c>
      <c r="M24" s="392">
        <v>0</v>
      </c>
      <c r="O24" s="538">
        <v>74.497200000000007</v>
      </c>
      <c r="P24" s="538">
        <v>227.79000000000002</v>
      </c>
    </row>
    <row r="25" spans="1:16" s="363" customFormat="1" x14ac:dyDescent="0.2">
      <c r="A25" s="390">
        <v>13</v>
      </c>
      <c r="B25" s="393" t="s">
        <v>887</v>
      </c>
      <c r="C25" s="391">
        <f>('T6_FG_py_Utlsn (2)'!C24+'T6A_FG_Upy_Utlsn  (2)'!C24)*3000/100000</f>
        <v>55.647036000000007</v>
      </c>
      <c r="D25" s="662">
        <v>1.5199999982229428E-5</v>
      </c>
      <c r="E25" s="391">
        <v>48.584249999999997</v>
      </c>
      <c r="F25" s="391">
        <f t="shared" si="0"/>
        <v>1619.4749999999999</v>
      </c>
      <c r="G25" s="391">
        <f t="shared" si="1"/>
        <v>48.584249999999997</v>
      </c>
      <c r="H25" s="391">
        <f t="shared" si="2"/>
        <v>1619.4749999999999</v>
      </c>
      <c r="I25" s="391">
        <v>48.584249999999997</v>
      </c>
      <c r="J25" s="392">
        <f t="shared" si="3"/>
        <v>0</v>
      </c>
      <c r="K25" s="391">
        <f t="shared" si="4"/>
        <v>1.5199999978676715E-5</v>
      </c>
      <c r="L25" s="391">
        <v>91.53</v>
      </c>
      <c r="M25" s="392">
        <v>0</v>
      </c>
      <c r="O25" s="538"/>
      <c r="P25" s="538">
        <v>91.53</v>
      </c>
    </row>
    <row r="26" spans="1:16" s="363" customFormat="1" x14ac:dyDescent="0.2">
      <c r="A26" s="390">
        <v>14</v>
      </c>
      <c r="B26" s="393" t="s">
        <v>888</v>
      </c>
      <c r="C26" s="391">
        <f>('T6_FG_py_Utlsn (2)'!C25+'T6A_FG_Upy_Utlsn  (2)'!C25)*3000/100000</f>
        <v>79.585397999999998</v>
      </c>
      <c r="D26" s="662">
        <v>-110.69265180000002</v>
      </c>
      <c r="E26" s="391">
        <v>73.81523</v>
      </c>
      <c r="F26" s="391">
        <f t="shared" si="0"/>
        <v>2460.5076666666669</v>
      </c>
      <c r="G26" s="391">
        <f t="shared" si="1"/>
        <v>73.81523</v>
      </c>
      <c r="H26" s="391">
        <f t="shared" si="2"/>
        <v>2460.5076666666669</v>
      </c>
      <c r="I26" s="391">
        <v>73.81523</v>
      </c>
      <c r="J26" s="392">
        <f t="shared" si="3"/>
        <v>0</v>
      </c>
      <c r="K26" s="391">
        <f t="shared" si="4"/>
        <v>-110.69265180000002</v>
      </c>
      <c r="L26" s="391">
        <v>132.97999999999999</v>
      </c>
      <c r="M26" s="392">
        <v>0</v>
      </c>
      <c r="O26" s="538">
        <v>-70.468850000000003</v>
      </c>
      <c r="P26" s="538">
        <v>132.97999999999999</v>
      </c>
    </row>
    <row r="27" spans="1:16" s="363" customFormat="1" x14ac:dyDescent="0.2">
      <c r="A27" s="390">
        <v>15</v>
      </c>
      <c r="B27" s="393" t="s">
        <v>889</v>
      </c>
      <c r="C27" s="391">
        <f>('T6_FG_py_Utlsn (2)'!C26+'T6A_FG_Upy_Utlsn  (2)'!C26)*3000/100000</f>
        <v>124.97683499999997</v>
      </c>
      <c r="D27" s="662">
        <v>-78.250856300000024</v>
      </c>
      <c r="E27" s="391">
        <v>124.97683000000001</v>
      </c>
      <c r="F27" s="391">
        <f t="shared" si="0"/>
        <v>4165.8943333333336</v>
      </c>
      <c r="G27" s="391">
        <f t="shared" si="1"/>
        <v>124.97683000000001</v>
      </c>
      <c r="H27" s="391">
        <f t="shared" si="2"/>
        <v>4165.8943333333336</v>
      </c>
      <c r="I27" s="391">
        <v>124.97683000000001</v>
      </c>
      <c r="J27" s="392">
        <f t="shared" si="3"/>
        <v>0</v>
      </c>
      <c r="K27" s="391">
        <f t="shared" si="4"/>
        <v>-78.250856300000024</v>
      </c>
      <c r="L27" s="391">
        <v>227.12</v>
      </c>
      <c r="M27" s="392">
        <v>0</v>
      </c>
      <c r="O27" s="538">
        <v>0</v>
      </c>
      <c r="P27" s="538">
        <v>227.12</v>
      </c>
    </row>
    <row r="28" spans="1:16" s="363" customFormat="1" x14ac:dyDescent="0.2">
      <c r="A28" s="390">
        <v>16</v>
      </c>
      <c r="B28" s="393" t="s">
        <v>890</v>
      </c>
      <c r="C28" s="391">
        <f>('T6_FG_py_Utlsn (2)'!C27+'T6A_FG_Upy_Utlsn  (2)'!C27)*3000/100000</f>
        <v>207.83809500000004</v>
      </c>
      <c r="D28" s="662">
        <v>-2.6900000051455208E-5</v>
      </c>
      <c r="E28" s="391">
        <v>207.83808000000002</v>
      </c>
      <c r="F28" s="391">
        <f t="shared" si="0"/>
        <v>6927.9360000000015</v>
      </c>
      <c r="G28" s="391">
        <f t="shared" si="1"/>
        <v>207.83808000000002</v>
      </c>
      <c r="H28" s="391">
        <f t="shared" si="2"/>
        <v>6927.9360000000015</v>
      </c>
      <c r="I28" s="391">
        <v>207.83808000000002</v>
      </c>
      <c r="J28" s="392">
        <f t="shared" si="3"/>
        <v>0</v>
      </c>
      <c r="K28" s="391">
        <f t="shared" si="4"/>
        <v>-2.6900000051455208E-5</v>
      </c>
      <c r="L28" s="391">
        <v>178.38</v>
      </c>
      <c r="M28" s="392">
        <v>0</v>
      </c>
      <c r="O28" s="538"/>
      <c r="P28" s="538">
        <v>178.38</v>
      </c>
    </row>
    <row r="29" spans="1:16" s="363" customFormat="1" x14ac:dyDescent="0.2">
      <c r="A29" s="390">
        <v>17</v>
      </c>
      <c r="B29" s="393" t="s">
        <v>891</v>
      </c>
      <c r="C29" s="391">
        <f>('T6_FG_py_Utlsn (2)'!C28+'T6A_FG_Upy_Utlsn  (2)'!C28)*3000/100000</f>
        <v>149.95622699999993</v>
      </c>
      <c r="D29" s="662">
        <v>2.0100000000127238E-3</v>
      </c>
      <c r="E29" s="391">
        <v>142.94998999999999</v>
      </c>
      <c r="F29" s="391">
        <f t="shared" si="0"/>
        <v>4764.9996666666657</v>
      </c>
      <c r="G29" s="391">
        <f t="shared" si="1"/>
        <v>142.94998999999999</v>
      </c>
      <c r="H29" s="391">
        <f t="shared" si="2"/>
        <v>4764.9996666666657</v>
      </c>
      <c r="I29" s="391">
        <v>142.94998999999999</v>
      </c>
      <c r="J29" s="392">
        <f t="shared" si="3"/>
        <v>0</v>
      </c>
      <c r="K29" s="391">
        <f t="shared" si="4"/>
        <v>2.0100000000127238E-3</v>
      </c>
      <c r="L29" s="391">
        <v>274.15999999999997</v>
      </c>
      <c r="M29" s="392">
        <v>0</v>
      </c>
      <c r="O29" s="538">
        <v>210.56</v>
      </c>
      <c r="P29" s="538">
        <v>274.15999999999997</v>
      </c>
    </row>
    <row r="30" spans="1:16" s="363" customFormat="1" x14ac:dyDescent="0.2">
      <c r="A30" s="390">
        <v>18</v>
      </c>
      <c r="B30" s="393" t="s">
        <v>892</v>
      </c>
      <c r="C30" s="391">
        <f>('T6_FG_py_Utlsn (2)'!C29+'T6A_FG_Upy_Utlsn  (2)'!C29)*3000/100000</f>
        <v>118.79361300000001</v>
      </c>
      <c r="D30" s="662">
        <v>1.7199999945205491E-5</v>
      </c>
      <c r="E30" s="391">
        <v>106.69327999999999</v>
      </c>
      <c r="F30" s="391">
        <f t="shared" si="0"/>
        <v>3556.4426666666659</v>
      </c>
      <c r="G30" s="391">
        <f t="shared" si="1"/>
        <v>106.69327999999999</v>
      </c>
      <c r="H30" s="391">
        <f t="shared" si="2"/>
        <v>3556.4426666666659</v>
      </c>
      <c r="I30" s="391">
        <v>106.69327999999999</v>
      </c>
      <c r="J30" s="392">
        <f t="shared" si="3"/>
        <v>0</v>
      </c>
      <c r="K30" s="391">
        <f t="shared" si="4"/>
        <v>1.7199999945205491E-5</v>
      </c>
      <c r="L30" s="391">
        <v>129.58000000000001</v>
      </c>
      <c r="M30" s="392">
        <v>0</v>
      </c>
      <c r="O30" s="538">
        <v>169.22</v>
      </c>
      <c r="P30" s="538">
        <v>129.58000000000001</v>
      </c>
    </row>
    <row r="31" spans="1:16" s="363" customFormat="1" x14ac:dyDescent="0.2">
      <c r="A31" s="390">
        <v>19</v>
      </c>
      <c r="B31" s="393" t="s">
        <v>893</v>
      </c>
      <c r="C31" s="391">
        <f>('T6_FG_py_Utlsn (2)'!C30+'T6A_FG_Upy_Utlsn  (2)'!C30)*3000/100000</f>
        <v>119.94641100000001</v>
      </c>
      <c r="D31" s="662">
        <v>-15.213406700000029</v>
      </c>
      <c r="E31" s="391">
        <v>119.94650999999999</v>
      </c>
      <c r="F31" s="391">
        <f t="shared" si="0"/>
        <v>3998.2169999999992</v>
      </c>
      <c r="G31" s="391">
        <f t="shared" si="1"/>
        <v>119.94650999999999</v>
      </c>
      <c r="H31" s="391">
        <f t="shared" si="2"/>
        <v>3998.2169999999992</v>
      </c>
      <c r="I31" s="391">
        <v>119.94650999999999</v>
      </c>
      <c r="J31" s="392">
        <f t="shared" si="3"/>
        <v>0</v>
      </c>
      <c r="K31" s="391">
        <f t="shared" si="4"/>
        <v>-15.213406700000036</v>
      </c>
      <c r="L31" s="391">
        <v>167.07999999999998</v>
      </c>
      <c r="M31" s="392">
        <v>0</v>
      </c>
      <c r="O31" s="538">
        <v>126.05</v>
      </c>
      <c r="P31" s="538">
        <v>167.07999999999998</v>
      </c>
    </row>
    <row r="32" spans="1:16" s="363" customFormat="1" x14ac:dyDescent="0.2">
      <c r="A32" s="390">
        <v>20</v>
      </c>
      <c r="B32" s="393" t="s">
        <v>894</v>
      </c>
      <c r="C32" s="391">
        <f>('T6_FG_py_Utlsn (2)'!C31+'T6A_FG_Upy_Utlsn  (2)'!C31)*3000/100000</f>
        <v>76.015001999999996</v>
      </c>
      <c r="D32" s="662">
        <v>2.3900000002186061E-5</v>
      </c>
      <c r="E32" s="396">
        <v>73.722920000000002</v>
      </c>
      <c r="F32" s="391">
        <f t="shared" si="0"/>
        <v>2457.4306666666666</v>
      </c>
      <c r="G32" s="391">
        <f t="shared" si="1"/>
        <v>73.722920000000002</v>
      </c>
      <c r="H32" s="391">
        <f t="shared" si="2"/>
        <v>2457.4306666666666</v>
      </c>
      <c r="I32" s="396">
        <v>73.722920000000002</v>
      </c>
      <c r="J32" s="392">
        <f t="shared" si="3"/>
        <v>0</v>
      </c>
      <c r="K32" s="391">
        <f t="shared" si="4"/>
        <v>2.3900000002186061E-5</v>
      </c>
      <c r="L32" s="391">
        <v>151.74</v>
      </c>
      <c r="M32" s="392">
        <v>0</v>
      </c>
      <c r="O32" s="538">
        <v>113.16</v>
      </c>
      <c r="P32" s="538">
        <v>151.74</v>
      </c>
    </row>
    <row r="33" spans="1:16" s="363" customFormat="1" x14ac:dyDescent="0.2">
      <c r="A33" s="390">
        <v>21</v>
      </c>
      <c r="B33" s="393" t="s">
        <v>895</v>
      </c>
      <c r="C33" s="391">
        <f>('T6_FG_py_Utlsn (2)'!C32+'T6A_FG_Upy_Utlsn  (2)'!C32)*3000/100000</f>
        <v>119.868594</v>
      </c>
      <c r="D33" s="662">
        <v>-33.866589999999974</v>
      </c>
      <c r="E33" s="396">
        <v>119.86848000000001</v>
      </c>
      <c r="F33" s="391">
        <f t="shared" si="0"/>
        <v>3995.616</v>
      </c>
      <c r="G33" s="391">
        <f t="shared" si="1"/>
        <v>119.86848000000001</v>
      </c>
      <c r="H33" s="391">
        <f t="shared" si="2"/>
        <v>3995.616</v>
      </c>
      <c r="I33" s="396">
        <v>119.86848000000001</v>
      </c>
      <c r="J33" s="392">
        <f t="shared" si="3"/>
        <v>0</v>
      </c>
      <c r="K33" s="391">
        <f t="shared" si="4"/>
        <v>-33.866589999999974</v>
      </c>
      <c r="L33" s="391">
        <v>212.07999999999998</v>
      </c>
      <c r="M33" s="392">
        <v>0</v>
      </c>
      <c r="O33" s="538">
        <v>212.08</v>
      </c>
      <c r="P33" s="538">
        <v>212.07999999999998</v>
      </c>
    </row>
    <row r="34" spans="1:16" s="363" customFormat="1" x14ac:dyDescent="0.2">
      <c r="A34" s="390">
        <v>22</v>
      </c>
      <c r="B34" s="393" t="s">
        <v>896</v>
      </c>
      <c r="C34" s="391">
        <f>('T6_FG_py_Utlsn (2)'!C33+'T6A_FG_Upy_Utlsn  (2)'!C33)*3000/100000</f>
        <v>94.767281999999994</v>
      </c>
      <c r="D34" s="662">
        <v>1.9499999964978088E-5</v>
      </c>
      <c r="E34" s="391">
        <v>88.163550000000001</v>
      </c>
      <c r="F34" s="391">
        <f t="shared" si="0"/>
        <v>2938.7849999999999</v>
      </c>
      <c r="G34" s="391">
        <f t="shared" si="1"/>
        <v>88.163550000000001</v>
      </c>
      <c r="H34" s="391">
        <f t="shared" si="2"/>
        <v>2938.7849999999999</v>
      </c>
      <c r="I34" s="397">
        <v>88.163550000000001</v>
      </c>
      <c r="J34" s="392">
        <f t="shared" si="3"/>
        <v>0</v>
      </c>
      <c r="K34" s="391">
        <f t="shared" si="4"/>
        <v>1.9499999964978088E-5</v>
      </c>
      <c r="L34" s="391">
        <v>52.85</v>
      </c>
      <c r="M34" s="392">
        <v>0</v>
      </c>
      <c r="O34" s="538">
        <v>106.66</v>
      </c>
      <c r="P34" s="538">
        <v>52.85</v>
      </c>
    </row>
    <row r="35" spans="1:16" s="363" customFormat="1" x14ac:dyDescent="0.2">
      <c r="A35" s="390">
        <v>23</v>
      </c>
      <c r="B35" s="393" t="s">
        <v>897</v>
      </c>
      <c r="C35" s="391">
        <f>('T6_FG_py_Utlsn (2)'!C34+'T6A_FG_Upy_Utlsn  (2)'!C34)*3000/100000</f>
        <v>145.27101300000004</v>
      </c>
      <c r="D35" s="662">
        <v>-98.4480006</v>
      </c>
      <c r="E35" s="391">
        <v>145.27091999999999</v>
      </c>
      <c r="F35" s="391">
        <f t="shared" si="0"/>
        <v>4842.3639999999996</v>
      </c>
      <c r="G35" s="391">
        <f t="shared" si="1"/>
        <v>145.27091999999999</v>
      </c>
      <c r="H35" s="391">
        <f t="shared" si="2"/>
        <v>4842.3639999999996</v>
      </c>
      <c r="I35" s="397">
        <v>145.27091999999999</v>
      </c>
      <c r="J35" s="392">
        <f t="shared" si="3"/>
        <v>0</v>
      </c>
      <c r="K35" s="391">
        <f t="shared" si="4"/>
        <v>-98.4480006</v>
      </c>
      <c r="L35" s="391">
        <v>90.57</v>
      </c>
      <c r="M35" s="392">
        <v>0</v>
      </c>
      <c r="O35" s="538">
        <v>72.86</v>
      </c>
      <c r="P35" s="538">
        <v>90.57</v>
      </c>
    </row>
    <row r="36" spans="1:16" s="363" customFormat="1" x14ac:dyDescent="0.2">
      <c r="A36" s="390">
        <v>24</v>
      </c>
      <c r="B36" s="393" t="s">
        <v>898</v>
      </c>
      <c r="C36" s="391">
        <f>('T6_FG_py_Utlsn (2)'!C35+'T6A_FG_Upy_Utlsn  (2)'!C35)*3000/100000</f>
        <v>145.73321100000001</v>
      </c>
      <c r="D36" s="662">
        <v>-6.6836328999999495</v>
      </c>
      <c r="E36" s="391">
        <v>145.73307</v>
      </c>
      <c r="F36" s="391">
        <f t="shared" si="0"/>
        <v>4857.7690000000002</v>
      </c>
      <c r="G36" s="391">
        <f t="shared" si="1"/>
        <v>145.73307</v>
      </c>
      <c r="H36" s="391">
        <f t="shared" si="2"/>
        <v>4857.7690000000002</v>
      </c>
      <c r="I36" s="397">
        <v>145.73307</v>
      </c>
      <c r="J36" s="392">
        <f t="shared" si="3"/>
        <v>0</v>
      </c>
      <c r="K36" s="391">
        <f t="shared" si="4"/>
        <v>-6.6836328999999637</v>
      </c>
      <c r="L36" s="391">
        <v>204.25</v>
      </c>
      <c r="M36" s="392">
        <v>0</v>
      </c>
      <c r="O36" s="538">
        <v>152.93</v>
      </c>
      <c r="P36" s="538">
        <v>204.25</v>
      </c>
    </row>
    <row r="37" spans="1:16" s="395" customFormat="1" x14ac:dyDescent="0.2">
      <c r="A37" s="901" t="s">
        <v>85</v>
      </c>
      <c r="B37" s="901"/>
      <c r="C37" s="394">
        <f>SUM(C13:C36)</f>
        <v>2812.5343329299999</v>
      </c>
      <c r="D37" s="394">
        <f t="shared" ref="D37:L37" si="5">SUM(D13:D36)</f>
        <v>-677.75354740000023</v>
      </c>
      <c r="E37" s="394">
        <f t="shared" si="5"/>
        <v>2755.4784900000013</v>
      </c>
      <c r="F37" s="394">
        <f t="shared" si="5"/>
        <v>91849.282999999996</v>
      </c>
      <c r="G37" s="394">
        <f t="shared" si="5"/>
        <v>2755.4784900000013</v>
      </c>
      <c r="H37" s="394">
        <f t="shared" si="5"/>
        <v>91849.282999999996</v>
      </c>
      <c r="I37" s="394">
        <f t="shared" si="5"/>
        <v>2755.4784900000013</v>
      </c>
      <c r="J37" s="394">
        <f t="shared" si="5"/>
        <v>0</v>
      </c>
      <c r="K37" s="394">
        <f t="shared" si="5"/>
        <v>-677.75354740000034</v>
      </c>
      <c r="L37" s="394">
        <f t="shared" si="5"/>
        <v>3524.0199999999995</v>
      </c>
      <c r="M37" s="394">
        <f>SUM(M13:M36)</f>
        <v>0</v>
      </c>
    </row>
    <row r="40" spans="1:16" ht="15.75" customHeight="1" x14ac:dyDescent="0.2">
      <c r="A40" s="758" t="s">
        <v>1107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667"/>
      <c r="M40" s="667"/>
      <c r="N40" s="671"/>
    </row>
    <row r="41" spans="1:16" ht="15.75" customHeight="1" x14ac:dyDescent="0.2">
      <c r="A41" s="758" t="s">
        <v>1108</v>
      </c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667"/>
      <c r="M41" s="667"/>
      <c r="N41" s="671"/>
    </row>
    <row r="42" spans="1:16" ht="15.75" customHeight="1" x14ac:dyDescent="0.2">
      <c r="A42" s="758" t="s">
        <v>1111</v>
      </c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667"/>
      <c r="M42" s="667"/>
      <c r="N42" s="671"/>
    </row>
    <row r="43" spans="1:16" ht="12.75" customHeight="1" x14ac:dyDescent="0.2">
      <c r="A43" s="670" t="s">
        <v>1114</v>
      </c>
      <c r="B43" s="670"/>
      <c r="C43" s="670"/>
      <c r="D43" s="670"/>
      <c r="E43" s="670"/>
      <c r="F43" s="670"/>
      <c r="G43" s="671"/>
      <c r="H43" s="671"/>
      <c r="I43" s="671"/>
      <c r="J43" s="677"/>
      <c r="K43" s="756" t="s">
        <v>1110</v>
      </c>
      <c r="L43" s="756"/>
      <c r="M43" s="756"/>
      <c r="N43" s="756"/>
    </row>
    <row r="44" spans="1:16" x14ac:dyDescent="0.2">
      <c r="A44"/>
      <c r="B44" s="567"/>
      <c r="C44" s="567"/>
      <c r="D44"/>
      <c r="E44"/>
      <c r="F44"/>
      <c r="G44" s="448"/>
      <c r="H44" s="566"/>
      <c r="I44" s="566"/>
      <c r="J44"/>
      <c r="K44" s="33"/>
      <c r="L44" s="567"/>
      <c r="M44" s="567"/>
      <c r="N44" s="566"/>
    </row>
  </sheetData>
  <mergeCells count="22">
    <mergeCell ref="A6:M6"/>
    <mergeCell ref="D9:D11"/>
    <mergeCell ref="H9:I10"/>
    <mergeCell ref="K9:K11"/>
    <mergeCell ref="K1:M1"/>
    <mergeCell ref="B3:K3"/>
    <mergeCell ref="B4:K4"/>
    <mergeCell ref="C9:C11"/>
    <mergeCell ref="J9:J11"/>
    <mergeCell ref="L7:M7"/>
    <mergeCell ref="B9:B11"/>
    <mergeCell ref="G8:M8"/>
    <mergeCell ref="F9:G10"/>
    <mergeCell ref="M9:M11"/>
    <mergeCell ref="K43:N43"/>
    <mergeCell ref="A40:K40"/>
    <mergeCell ref="A41:K41"/>
    <mergeCell ref="A42:K42"/>
    <mergeCell ref="E9:E11"/>
    <mergeCell ref="L9:L11"/>
    <mergeCell ref="A37:B37"/>
    <mergeCell ref="A9:A11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view="pageBreakPreview" topLeftCell="A13" zoomScale="90" zoomScaleNormal="100" zoomScaleSheetLayoutView="90" workbookViewId="0">
      <selection activeCell="R35" sqref="R35"/>
    </sheetView>
  </sheetViews>
  <sheetFormatPr defaultRowHeight="12.75" x14ac:dyDescent="0.2"/>
  <cols>
    <col min="1" max="1" width="5.5703125" style="15" customWidth="1"/>
    <col min="2" max="2" width="15.85546875" style="15" bestFit="1" customWidth="1"/>
    <col min="3" max="3" width="10.5703125" style="15" customWidth="1"/>
    <col min="4" max="4" width="9.855468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3"/>
      <c r="E1" s="33"/>
      <c r="F1" s="33"/>
      <c r="G1" s="33"/>
      <c r="H1" s="33"/>
      <c r="I1" s="33"/>
      <c r="J1" s="33"/>
      <c r="K1" s="33"/>
      <c r="L1" s="896" t="s">
        <v>427</v>
      </c>
      <c r="M1" s="896"/>
      <c r="N1" s="896"/>
      <c r="O1" s="39"/>
      <c r="P1" s="39"/>
    </row>
    <row r="2" spans="1:19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41"/>
      <c r="N2" s="41"/>
      <c r="O2" s="41"/>
      <c r="P2" s="41"/>
    </row>
    <row r="3" spans="1:19" customFormat="1" ht="20.25" x14ac:dyDescent="0.3">
      <c r="A3" s="899" t="s">
        <v>694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40"/>
      <c r="N3" s="40"/>
      <c r="O3" s="40"/>
      <c r="P3" s="40"/>
    </row>
    <row r="4" spans="1:19" customFormat="1" ht="10.5" customHeight="1" x14ac:dyDescent="0.2"/>
    <row r="5" spans="1:19" ht="19.5" customHeight="1" x14ac:dyDescent="0.25">
      <c r="A5" s="880" t="s">
        <v>750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</row>
    <row r="6" spans="1:19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x14ac:dyDescent="0.2">
      <c r="A7" s="33" t="s">
        <v>1098</v>
      </c>
      <c r="B7" s="33"/>
      <c r="F7" s="897" t="s">
        <v>16</v>
      </c>
      <c r="G7" s="897"/>
      <c r="H7" s="897"/>
      <c r="I7" s="897"/>
      <c r="J7" s="897"/>
      <c r="K7" s="897"/>
      <c r="L7" s="897"/>
    </row>
    <row r="8" spans="1:19" x14ac:dyDescent="0.2">
      <c r="A8" s="14"/>
      <c r="F8" s="16"/>
      <c r="G8" s="94"/>
      <c r="H8" s="94"/>
      <c r="I8" s="898" t="s">
        <v>773</v>
      </c>
      <c r="J8" s="898"/>
      <c r="K8" s="898"/>
      <c r="L8" s="898"/>
    </row>
    <row r="9" spans="1:19" s="14" customFormat="1" x14ac:dyDescent="0.2">
      <c r="A9" s="775" t="s">
        <v>1</v>
      </c>
      <c r="B9" s="775" t="s">
        <v>2</v>
      </c>
      <c r="C9" s="770" t="s">
        <v>20</v>
      </c>
      <c r="D9" s="771"/>
      <c r="E9" s="771"/>
      <c r="F9" s="771"/>
      <c r="G9" s="771"/>
      <c r="H9" s="770" t="s">
        <v>21</v>
      </c>
      <c r="I9" s="771"/>
      <c r="J9" s="771"/>
      <c r="K9" s="771"/>
      <c r="L9" s="771"/>
      <c r="R9" s="28"/>
      <c r="S9" s="29"/>
    </row>
    <row r="10" spans="1:19" s="14" customFormat="1" ht="63.75" x14ac:dyDescent="0.2">
      <c r="A10" s="775"/>
      <c r="B10" s="775"/>
      <c r="C10" s="5" t="s">
        <v>747</v>
      </c>
      <c r="D10" s="5" t="s">
        <v>780</v>
      </c>
      <c r="E10" s="5" t="s">
        <v>66</v>
      </c>
      <c r="F10" s="5" t="s">
        <v>67</v>
      </c>
      <c r="G10" s="5" t="s">
        <v>361</v>
      </c>
      <c r="H10" s="5" t="s">
        <v>747</v>
      </c>
      <c r="I10" s="5" t="s">
        <v>780</v>
      </c>
      <c r="J10" s="5" t="s">
        <v>66</v>
      </c>
      <c r="K10" s="5" t="s">
        <v>67</v>
      </c>
      <c r="L10" s="5" t="s">
        <v>362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s="14" customFormat="1" x14ac:dyDescent="0.2">
      <c r="A12" s="17">
        <v>1</v>
      </c>
      <c r="B12" s="184" t="s">
        <v>875</v>
      </c>
      <c r="C12" s="907" t="s">
        <v>927</v>
      </c>
      <c r="D12" s="908"/>
      <c r="E12" s="908"/>
      <c r="F12" s="908"/>
      <c r="G12" s="908"/>
      <c r="H12" s="908"/>
      <c r="I12" s="908"/>
      <c r="J12" s="908"/>
      <c r="K12" s="908"/>
      <c r="L12" s="909"/>
    </row>
    <row r="13" spans="1:19" s="14" customFormat="1" x14ac:dyDescent="0.2">
      <c r="A13" s="17">
        <v>2</v>
      </c>
      <c r="B13" s="184" t="s">
        <v>876</v>
      </c>
      <c r="C13" s="910"/>
      <c r="D13" s="911"/>
      <c r="E13" s="911"/>
      <c r="F13" s="911"/>
      <c r="G13" s="911"/>
      <c r="H13" s="911"/>
      <c r="I13" s="911"/>
      <c r="J13" s="911"/>
      <c r="K13" s="911"/>
      <c r="L13" s="912"/>
    </row>
    <row r="14" spans="1:19" s="14" customFormat="1" x14ac:dyDescent="0.2">
      <c r="A14" s="17">
        <v>3</v>
      </c>
      <c r="B14" s="184" t="s">
        <v>877</v>
      </c>
      <c r="C14" s="910"/>
      <c r="D14" s="911"/>
      <c r="E14" s="911"/>
      <c r="F14" s="911"/>
      <c r="G14" s="911"/>
      <c r="H14" s="911"/>
      <c r="I14" s="911"/>
      <c r="J14" s="911"/>
      <c r="K14" s="911"/>
      <c r="L14" s="912"/>
    </row>
    <row r="15" spans="1:19" s="14" customFormat="1" x14ac:dyDescent="0.2">
      <c r="A15" s="17">
        <v>4</v>
      </c>
      <c r="B15" s="184" t="s">
        <v>878</v>
      </c>
      <c r="C15" s="910"/>
      <c r="D15" s="911"/>
      <c r="E15" s="911"/>
      <c r="F15" s="911"/>
      <c r="G15" s="911"/>
      <c r="H15" s="911"/>
      <c r="I15" s="911"/>
      <c r="J15" s="911"/>
      <c r="K15" s="911"/>
      <c r="L15" s="912"/>
    </row>
    <row r="16" spans="1:19" s="14" customFormat="1" x14ac:dyDescent="0.2">
      <c r="A16" s="17">
        <v>5</v>
      </c>
      <c r="B16" s="184" t="s">
        <v>879</v>
      </c>
      <c r="C16" s="910"/>
      <c r="D16" s="911"/>
      <c r="E16" s="911"/>
      <c r="F16" s="911"/>
      <c r="G16" s="911"/>
      <c r="H16" s="911"/>
      <c r="I16" s="911"/>
      <c r="J16" s="911"/>
      <c r="K16" s="911"/>
      <c r="L16" s="912"/>
    </row>
    <row r="17" spans="1:12" s="14" customFormat="1" x14ac:dyDescent="0.2">
      <c r="A17" s="17">
        <v>6</v>
      </c>
      <c r="B17" s="184" t="s">
        <v>880</v>
      </c>
      <c r="C17" s="910"/>
      <c r="D17" s="911"/>
      <c r="E17" s="911"/>
      <c r="F17" s="911"/>
      <c r="G17" s="911"/>
      <c r="H17" s="911"/>
      <c r="I17" s="911"/>
      <c r="J17" s="911"/>
      <c r="K17" s="911"/>
      <c r="L17" s="912"/>
    </row>
    <row r="18" spans="1:12" s="14" customFormat="1" x14ac:dyDescent="0.2">
      <c r="A18" s="17">
        <v>7</v>
      </c>
      <c r="B18" s="184" t="s">
        <v>881</v>
      </c>
      <c r="C18" s="910"/>
      <c r="D18" s="911"/>
      <c r="E18" s="911"/>
      <c r="F18" s="911"/>
      <c r="G18" s="911"/>
      <c r="H18" s="911"/>
      <c r="I18" s="911"/>
      <c r="J18" s="911"/>
      <c r="K18" s="911"/>
      <c r="L18" s="912"/>
    </row>
    <row r="19" spans="1:12" s="14" customFormat="1" x14ac:dyDescent="0.2">
      <c r="A19" s="17">
        <v>8</v>
      </c>
      <c r="B19" s="184" t="s">
        <v>882</v>
      </c>
      <c r="C19" s="910"/>
      <c r="D19" s="911"/>
      <c r="E19" s="911"/>
      <c r="F19" s="911"/>
      <c r="G19" s="911"/>
      <c r="H19" s="911"/>
      <c r="I19" s="911"/>
      <c r="J19" s="911"/>
      <c r="K19" s="911"/>
      <c r="L19" s="912"/>
    </row>
    <row r="20" spans="1:12" s="14" customFormat="1" x14ac:dyDescent="0.2">
      <c r="A20" s="17">
        <v>9</v>
      </c>
      <c r="B20" s="184" t="s">
        <v>883</v>
      </c>
      <c r="C20" s="910"/>
      <c r="D20" s="911"/>
      <c r="E20" s="911"/>
      <c r="F20" s="911"/>
      <c r="G20" s="911"/>
      <c r="H20" s="911"/>
      <c r="I20" s="911"/>
      <c r="J20" s="911"/>
      <c r="K20" s="911"/>
      <c r="L20" s="912"/>
    </row>
    <row r="21" spans="1:12" s="14" customFormat="1" x14ac:dyDescent="0.2">
      <c r="A21" s="17">
        <v>10</v>
      </c>
      <c r="B21" s="184" t="s">
        <v>884</v>
      </c>
      <c r="C21" s="910"/>
      <c r="D21" s="911"/>
      <c r="E21" s="911"/>
      <c r="F21" s="911"/>
      <c r="G21" s="911"/>
      <c r="H21" s="911"/>
      <c r="I21" s="911"/>
      <c r="J21" s="911"/>
      <c r="K21" s="911"/>
      <c r="L21" s="912"/>
    </row>
    <row r="22" spans="1:12" s="14" customFormat="1" x14ac:dyDescent="0.2">
      <c r="A22" s="17">
        <v>11</v>
      </c>
      <c r="B22" s="184" t="s">
        <v>885</v>
      </c>
      <c r="C22" s="910"/>
      <c r="D22" s="911"/>
      <c r="E22" s="911"/>
      <c r="F22" s="911"/>
      <c r="G22" s="911"/>
      <c r="H22" s="911"/>
      <c r="I22" s="911"/>
      <c r="J22" s="911"/>
      <c r="K22" s="911"/>
      <c r="L22" s="912"/>
    </row>
    <row r="23" spans="1:12" s="14" customFormat="1" x14ac:dyDescent="0.2">
      <c r="A23" s="17">
        <v>12</v>
      </c>
      <c r="B23" s="241" t="s">
        <v>886</v>
      </c>
      <c r="C23" s="910"/>
      <c r="D23" s="911"/>
      <c r="E23" s="911"/>
      <c r="F23" s="911"/>
      <c r="G23" s="911"/>
      <c r="H23" s="911"/>
      <c r="I23" s="911"/>
      <c r="J23" s="911"/>
      <c r="K23" s="911"/>
      <c r="L23" s="912"/>
    </row>
    <row r="24" spans="1:12" s="14" customFormat="1" x14ac:dyDescent="0.2">
      <c r="A24" s="17">
        <v>13</v>
      </c>
      <c r="B24" s="184" t="s">
        <v>887</v>
      </c>
      <c r="C24" s="910"/>
      <c r="D24" s="911"/>
      <c r="E24" s="911"/>
      <c r="F24" s="911"/>
      <c r="G24" s="911"/>
      <c r="H24" s="911"/>
      <c r="I24" s="911"/>
      <c r="J24" s="911"/>
      <c r="K24" s="911"/>
      <c r="L24" s="912"/>
    </row>
    <row r="25" spans="1:12" x14ac:dyDescent="0.2">
      <c r="A25" s="17">
        <v>14</v>
      </c>
      <c r="B25" s="184" t="s">
        <v>888</v>
      </c>
      <c r="C25" s="910"/>
      <c r="D25" s="911"/>
      <c r="E25" s="911"/>
      <c r="F25" s="911"/>
      <c r="G25" s="911"/>
      <c r="H25" s="911"/>
      <c r="I25" s="911"/>
      <c r="J25" s="911"/>
      <c r="K25" s="911"/>
      <c r="L25" s="912"/>
    </row>
    <row r="26" spans="1:12" x14ac:dyDescent="0.2">
      <c r="A26" s="17">
        <v>15</v>
      </c>
      <c r="B26" s="184" t="s">
        <v>889</v>
      </c>
      <c r="C26" s="910"/>
      <c r="D26" s="911"/>
      <c r="E26" s="911"/>
      <c r="F26" s="911"/>
      <c r="G26" s="911"/>
      <c r="H26" s="911"/>
      <c r="I26" s="911"/>
      <c r="J26" s="911"/>
      <c r="K26" s="911"/>
      <c r="L26" s="912"/>
    </row>
    <row r="27" spans="1:12" x14ac:dyDescent="0.2">
      <c r="A27" s="17">
        <v>16</v>
      </c>
      <c r="B27" s="184" t="s">
        <v>890</v>
      </c>
      <c r="C27" s="910"/>
      <c r="D27" s="911"/>
      <c r="E27" s="911"/>
      <c r="F27" s="911"/>
      <c r="G27" s="911"/>
      <c r="H27" s="911"/>
      <c r="I27" s="911"/>
      <c r="J27" s="911"/>
      <c r="K27" s="911"/>
      <c r="L27" s="912"/>
    </row>
    <row r="28" spans="1:12" x14ac:dyDescent="0.2">
      <c r="A28" s="17">
        <v>17</v>
      </c>
      <c r="B28" s="184" t="s">
        <v>891</v>
      </c>
      <c r="C28" s="910"/>
      <c r="D28" s="911"/>
      <c r="E28" s="911"/>
      <c r="F28" s="911"/>
      <c r="G28" s="911"/>
      <c r="H28" s="911"/>
      <c r="I28" s="911"/>
      <c r="J28" s="911"/>
      <c r="K28" s="911"/>
      <c r="L28" s="912"/>
    </row>
    <row r="29" spans="1:12" x14ac:dyDescent="0.2">
      <c r="A29" s="17">
        <v>18</v>
      </c>
      <c r="B29" s="184" t="s">
        <v>892</v>
      </c>
      <c r="C29" s="910"/>
      <c r="D29" s="911"/>
      <c r="E29" s="911"/>
      <c r="F29" s="911"/>
      <c r="G29" s="911"/>
      <c r="H29" s="911"/>
      <c r="I29" s="911"/>
      <c r="J29" s="911"/>
      <c r="K29" s="911"/>
      <c r="L29" s="912"/>
    </row>
    <row r="30" spans="1:12" x14ac:dyDescent="0.2">
      <c r="A30" s="17">
        <v>19</v>
      </c>
      <c r="B30" s="184" t="s">
        <v>893</v>
      </c>
      <c r="C30" s="910"/>
      <c r="D30" s="911"/>
      <c r="E30" s="911"/>
      <c r="F30" s="911"/>
      <c r="G30" s="911"/>
      <c r="H30" s="911"/>
      <c r="I30" s="911"/>
      <c r="J30" s="911"/>
      <c r="K30" s="911"/>
      <c r="L30" s="912"/>
    </row>
    <row r="31" spans="1:12" x14ac:dyDescent="0.2">
      <c r="A31" s="17">
        <v>20</v>
      </c>
      <c r="B31" s="184" t="s">
        <v>894</v>
      </c>
      <c r="C31" s="910"/>
      <c r="D31" s="911"/>
      <c r="E31" s="911"/>
      <c r="F31" s="911"/>
      <c r="G31" s="911"/>
      <c r="H31" s="911"/>
      <c r="I31" s="911"/>
      <c r="J31" s="911"/>
      <c r="K31" s="911"/>
      <c r="L31" s="912"/>
    </row>
    <row r="32" spans="1:12" x14ac:dyDescent="0.2">
      <c r="A32" s="17">
        <v>21</v>
      </c>
      <c r="B32" s="184" t="s">
        <v>895</v>
      </c>
      <c r="C32" s="910"/>
      <c r="D32" s="911"/>
      <c r="E32" s="911"/>
      <c r="F32" s="911"/>
      <c r="G32" s="911"/>
      <c r="H32" s="911"/>
      <c r="I32" s="911"/>
      <c r="J32" s="911"/>
      <c r="K32" s="911"/>
      <c r="L32" s="912"/>
    </row>
    <row r="33" spans="1:14" x14ac:dyDescent="0.2">
      <c r="A33" s="17">
        <v>22</v>
      </c>
      <c r="B33" s="184" t="s">
        <v>896</v>
      </c>
      <c r="C33" s="910"/>
      <c r="D33" s="911"/>
      <c r="E33" s="911"/>
      <c r="F33" s="911"/>
      <c r="G33" s="911"/>
      <c r="H33" s="911"/>
      <c r="I33" s="911"/>
      <c r="J33" s="911"/>
      <c r="K33" s="911"/>
      <c r="L33" s="912"/>
    </row>
    <row r="34" spans="1:14" x14ac:dyDescent="0.2">
      <c r="A34" s="17">
        <v>23</v>
      </c>
      <c r="B34" s="184" t="s">
        <v>897</v>
      </c>
      <c r="C34" s="910"/>
      <c r="D34" s="911"/>
      <c r="E34" s="911"/>
      <c r="F34" s="911"/>
      <c r="G34" s="911"/>
      <c r="H34" s="911"/>
      <c r="I34" s="911"/>
      <c r="J34" s="911"/>
      <c r="K34" s="911"/>
      <c r="L34" s="912"/>
    </row>
    <row r="35" spans="1:14" x14ac:dyDescent="0.2">
      <c r="A35" s="17">
        <v>24</v>
      </c>
      <c r="B35" s="184" t="s">
        <v>898</v>
      </c>
      <c r="C35" s="910"/>
      <c r="D35" s="911"/>
      <c r="E35" s="911"/>
      <c r="F35" s="911"/>
      <c r="G35" s="911"/>
      <c r="H35" s="911"/>
      <c r="I35" s="911"/>
      <c r="J35" s="911"/>
      <c r="K35" s="911"/>
      <c r="L35" s="912"/>
    </row>
    <row r="36" spans="1:14" x14ac:dyDescent="0.2">
      <c r="A36" s="3" t="s">
        <v>15</v>
      </c>
      <c r="B36" s="18"/>
      <c r="C36" s="913"/>
      <c r="D36" s="914"/>
      <c r="E36" s="914"/>
      <c r="F36" s="914"/>
      <c r="G36" s="914"/>
      <c r="H36" s="914"/>
      <c r="I36" s="914"/>
      <c r="J36" s="914"/>
      <c r="K36" s="914"/>
      <c r="L36" s="915"/>
    </row>
    <row r="37" spans="1:14" x14ac:dyDescent="0.2">
      <c r="A37" s="20" t="s">
        <v>360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x14ac:dyDescent="0.2">
      <c r="A38" s="19" t="s">
        <v>359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4" ht="15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4" ht="14.25" customHeight="1" x14ac:dyDescent="0.2">
      <c r="A41" s="758" t="s">
        <v>1107</v>
      </c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667"/>
      <c r="M41" s="667"/>
      <c r="N41" s="671"/>
    </row>
    <row r="42" spans="1:14" ht="13.15" customHeight="1" x14ac:dyDescent="0.2">
      <c r="A42" s="758" t="s">
        <v>1108</v>
      </c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667"/>
      <c r="M42" s="667"/>
      <c r="N42" s="671"/>
    </row>
    <row r="43" spans="1:14" ht="13.15" customHeight="1" x14ac:dyDescent="0.2">
      <c r="A43" s="758" t="s">
        <v>1111</v>
      </c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667"/>
      <c r="M43" s="667"/>
      <c r="N43" s="671"/>
    </row>
    <row r="44" spans="1:14" ht="13.15" customHeight="1" x14ac:dyDescent="0.2">
      <c r="A44" s="670" t="s">
        <v>1114</v>
      </c>
      <c r="B44" s="670"/>
      <c r="C44" s="670"/>
      <c r="D44" s="670"/>
      <c r="E44" s="670"/>
      <c r="F44" s="670"/>
      <c r="G44" s="671"/>
      <c r="H44" s="671"/>
      <c r="I44" s="671"/>
      <c r="J44" s="678"/>
      <c r="K44" s="756" t="s">
        <v>1110</v>
      </c>
      <c r="L44" s="756"/>
      <c r="M44" s="756"/>
      <c r="N44" s="756"/>
    </row>
    <row r="45" spans="1:14" x14ac:dyDescent="0.2">
      <c r="A45" s="879"/>
      <c r="B45" s="879"/>
      <c r="C45" s="879"/>
      <c r="D45" s="879"/>
      <c r="E45" s="879"/>
      <c r="F45" s="879"/>
      <c r="G45" s="879"/>
      <c r="H45" s="879"/>
      <c r="I45" s="879"/>
      <c r="J45" s="879"/>
      <c r="K45" s="879"/>
      <c r="L45" s="879"/>
    </row>
  </sheetData>
  <mergeCells count="16">
    <mergeCell ref="C12:L36"/>
    <mergeCell ref="A41:K41"/>
    <mergeCell ref="A42:K42"/>
    <mergeCell ref="A43:K43"/>
    <mergeCell ref="A45:L45"/>
    <mergeCell ref="A9:A10"/>
    <mergeCell ref="B9:B10"/>
    <mergeCell ref="C9:G9"/>
    <mergeCell ref="H9:L9"/>
    <mergeCell ref="K44:N44"/>
    <mergeCell ref="L1:N1"/>
    <mergeCell ref="A2:L2"/>
    <mergeCell ref="A3:L3"/>
    <mergeCell ref="A5:L5"/>
    <mergeCell ref="F7:L7"/>
    <mergeCell ref="I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7"/>
  <sheetViews>
    <sheetView view="pageBreakPreview" topLeftCell="A10" zoomScale="90" zoomScaleNormal="100" zoomScaleSheetLayoutView="90" workbookViewId="0">
      <pane xSplit="2" ySplit="4" topLeftCell="C21" activePane="bottomRight" state="frozen"/>
      <selection activeCell="A10" sqref="A10"/>
      <selection pane="topRight" activeCell="C10" sqref="C10"/>
      <selection pane="bottomLeft" activeCell="A14" sqref="A14"/>
      <selection pane="bottomRight" activeCell="L43" sqref="L43"/>
    </sheetView>
  </sheetViews>
  <sheetFormatPr defaultRowHeight="12.75" x14ac:dyDescent="0.2"/>
  <cols>
    <col min="1" max="1" width="7.42578125" style="15" customWidth="1"/>
    <col min="2" max="2" width="17.140625" style="15" customWidth="1"/>
    <col min="3" max="17" width="11" style="15" customWidth="1"/>
    <col min="18" max="18" width="9.5703125" style="15" bestFit="1" customWidth="1"/>
    <col min="19" max="16384" width="9.140625" style="15"/>
  </cols>
  <sheetData>
    <row r="1" spans="1:21" customFormat="1" ht="15" x14ac:dyDescent="0.2">
      <c r="H1" s="33"/>
      <c r="I1" s="33"/>
      <c r="J1" s="33"/>
      <c r="K1" s="33"/>
      <c r="L1" s="33"/>
      <c r="M1" s="33"/>
      <c r="N1" s="33"/>
      <c r="O1" s="33"/>
      <c r="P1" s="871" t="s">
        <v>60</v>
      </c>
      <c r="Q1" s="871"/>
      <c r="S1" s="15"/>
      <c r="T1" s="39"/>
      <c r="U1" s="39"/>
    </row>
    <row r="2" spans="1:21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41"/>
      <c r="S2" s="41"/>
      <c r="T2" s="41"/>
      <c r="U2" s="41"/>
    </row>
    <row r="3" spans="1:21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40"/>
      <c r="S3" s="40"/>
      <c r="T3" s="40"/>
      <c r="U3" s="40"/>
    </row>
    <row r="4" spans="1:21" customFormat="1" ht="10.5" customHeight="1" x14ac:dyDescent="0.2"/>
    <row r="5" spans="1:21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</row>
    <row r="6" spans="1:21" ht="18" customHeight="1" x14ac:dyDescent="0.25">
      <c r="A6" s="880" t="s">
        <v>839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</row>
    <row r="9" spans="1:21" x14ac:dyDescent="0.2">
      <c r="A9" s="33" t="s">
        <v>1098</v>
      </c>
      <c r="B9" s="33"/>
      <c r="Q9" s="31" t="s">
        <v>18</v>
      </c>
      <c r="R9" s="18"/>
      <c r="S9" s="20"/>
    </row>
    <row r="10" spans="1:21" ht="15.75" x14ac:dyDescent="0.25">
      <c r="A10" s="13"/>
      <c r="N10" s="898" t="s">
        <v>773</v>
      </c>
      <c r="O10" s="898"/>
      <c r="P10" s="898"/>
      <c r="Q10" s="898"/>
    </row>
    <row r="11" spans="1:21" ht="28.5" customHeight="1" x14ac:dyDescent="0.2">
      <c r="A11" s="727" t="s">
        <v>1</v>
      </c>
      <c r="B11" s="727" t="s">
        <v>2</v>
      </c>
      <c r="C11" s="775" t="s">
        <v>751</v>
      </c>
      <c r="D11" s="775"/>
      <c r="E11" s="775"/>
      <c r="F11" s="775" t="s">
        <v>782</v>
      </c>
      <c r="G11" s="775"/>
      <c r="H11" s="775"/>
      <c r="I11" s="916" t="s">
        <v>364</v>
      </c>
      <c r="J11" s="917"/>
      <c r="K11" s="918"/>
      <c r="L11" s="916" t="s">
        <v>87</v>
      </c>
      <c r="M11" s="917"/>
      <c r="N11" s="918"/>
      <c r="O11" s="919" t="s">
        <v>781</v>
      </c>
      <c r="P11" s="920"/>
      <c r="Q11" s="921"/>
    </row>
    <row r="12" spans="1:21" ht="39.75" customHeight="1" x14ac:dyDescent="0.2">
      <c r="A12" s="728"/>
      <c r="B12" s="728"/>
      <c r="C12" s="5" t="s">
        <v>106</v>
      </c>
      <c r="D12" s="5" t="s">
        <v>659</v>
      </c>
      <c r="E12" s="36" t="s">
        <v>15</v>
      </c>
      <c r="F12" s="5" t="s">
        <v>106</v>
      </c>
      <c r="G12" s="5" t="s">
        <v>660</v>
      </c>
      <c r="H12" s="36" t="s">
        <v>15</v>
      </c>
      <c r="I12" s="5" t="s">
        <v>106</v>
      </c>
      <c r="J12" s="5" t="s">
        <v>660</v>
      </c>
      <c r="K12" s="36" t="s">
        <v>15</v>
      </c>
      <c r="L12" s="5" t="s">
        <v>106</v>
      </c>
      <c r="M12" s="5" t="s">
        <v>660</v>
      </c>
      <c r="N12" s="36" t="s">
        <v>15</v>
      </c>
      <c r="O12" s="5" t="s">
        <v>223</v>
      </c>
      <c r="P12" s="5" t="s">
        <v>661</v>
      </c>
      <c r="Q12" s="5" t="s">
        <v>107</v>
      </c>
    </row>
    <row r="13" spans="1:21" s="63" customFormat="1" x14ac:dyDescent="0.2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</row>
    <row r="14" spans="1:21" s="63" customFormat="1" x14ac:dyDescent="0.2">
      <c r="A14" s="17">
        <v>1</v>
      </c>
      <c r="B14" s="184" t="s">
        <v>875</v>
      </c>
      <c r="C14" s="415">
        <f>T5_PLAN_vs_PRFM!D12*2.61*254/100000</f>
        <v>862.93573920000006</v>
      </c>
      <c r="D14" s="415">
        <f>T5_PLAN_vs_PRFM!D12*254*1.74/100000</f>
        <v>575.29049280000004</v>
      </c>
      <c r="E14" s="415">
        <f>SUM(C14:D14)</f>
        <v>1438.226232</v>
      </c>
      <c r="F14" s="415">
        <v>34.494587040000056</v>
      </c>
      <c r="G14" s="415">
        <v>900.60789429269562</v>
      </c>
      <c r="H14" s="415">
        <f>SUM(F14:G14)</f>
        <v>935.10248133269567</v>
      </c>
      <c r="I14" s="415">
        <v>857.20687000000009</v>
      </c>
      <c r="J14" s="415">
        <v>123.66403468867924</v>
      </c>
      <c r="K14" s="415">
        <f>I14+J14</f>
        <v>980.87090468867927</v>
      </c>
      <c r="L14" s="415">
        <v>779.44966582799998</v>
      </c>
      <c r="M14" s="415">
        <v>464.35857162400004</v>
      </c>
      <c r="N14" s="415">
        <f>SUM(L14:M14)</f>
        <v>1243.808237452</v>
      </c>
      <c r="O14" s="415">
        <f>F14+I14-L14</f>
        <v>112.25179121200017</v>
      </c>
      <c r="P14" s="415">
        <f>G14+J14-M14</f>
        <v>559.91335735737493</v>
      </c>
      <c r="Q14" s="415">
        <f>H14+K14-N14</f>
        <v>672.16514856937511</v>
      </c>
    </row>
    <row r="15" spans="1:21" s="63" customFormat="1" x14ac:dyDescent="0.2">
      <c r="A15" s="17">
        <v>2</v>
      </c>
      <c r="B15" s="184" t="s">
        <v>876</v>
      </c>
      <c r="C15" s="415">
        <f>T5_PLAN_vs_PRFM!D13*2.61*254/100000</f>
        <v>334.87088219999998</v>
      </c>
      <c r="D15" s="415">
        <f>T5_PLAN_vs_PRFM!D13*254*1.74/100000</f>
        <v>223.24725480000001</v>
      </c>
      <c r="E15" s="415">
        <f t="shared" ref="E15:E37" si="0">SUM(C15:D15)</f>
        <v>558.11813699999993</v>
      </c>
      <c r="F15" s="415">
        <v>-9.4458929999999555</v>
      </c>
      <c r="G15" s="415">
        <v>281.47824326086959</v>
      </c>
      <c r="H15" s="415">
        <f t="shared" ref="H15:H37" si="1">SUM(F15:G15)</f>
        <v>272.03235026086963</v>
      </c>
      <c r="I15" s="415">
        <v>311.55752999999999</v>
      </c>
      <c r="J15" s="415">
        <v>36.619502791666662</v>
      </c>
      <c r="K15" s="415">
        <f t="shared" ref="K15:K37" si="2">I15+J15</f>
        <v>348.17703279166665</v>
      </c>
      <c r="L15" s="415">
        <v>262.15869439799997</v>
      </c>
      <c r="M15" s="415">
        <v>155.880157892</v>
      </c>
      <c r="N15" s="415">
        <f t="shared" ref="N15:N37" si="3">SUM(L15:M15)</f>
        <v>418.03885228999997</v>
      </c>
      <c r="O15" s="415">
        <f t="shared" ref="O15:P37" si="4">F15+I15-L15</f>
        <v>39.952942602000064</v>
      </c>
      <c r="P15" s="415">
        <f>G15+J15-M15</f>
        <v>162.21758816053625</v>
      </c>
      <c r="Q15" s="415">
        <f t="shared" ref="Q15:Q37" si="5">H15+K15-N15</f>
        <v>202.17053076253632</v>
      </c>
    </row>
    <row r="16" spans="1:21" s="63" customFormat="1" x14ac:dyDescent="0.2">
      <c r="A16" s="17">
        <v>3</v>
      </c>
      <c r="B16" s="184" t="s">
        <v>877</v>
      </c>
      <c r="C16" s="415">
        <f>T5_PLAN_vs_PRFM!D14*2.61*254/100000</f>
        <v>244.17406079999998</v>
      </c>
      <c r="D16" s="415">
        <f>T5_PLAN_vs_PRFM!D14*254*1.74/100000</f>
        <v>162.7827072</v>
      </c>
      <c r="E16" s="415">
        <f t="shared" si="0"/>
        <v>406.95676800000001</v>
      </c>
      <c r="F16" s="415">
        <v>-12.704781920000016</v>
      </c>
      <c r="G16" s="415">
        <v>233.91770972972969</v>
      </c>
      <c r="H16" s="415">
        <f t="shared" si="1"/>
        <v>221.21292780972968</v>
      </c>
      <c r="I16" s="415">
        <v>250.02401</v>
      </c>
      <c r="J16" s="415">
        <v>31.612770149999996</v>
      </c>
      <c r="K16" s="415">
        <f t="shared" si="2"/>
        <v>281.63678014999999</v>
      </c>
      <c r="L16" s="415">
        <v>203.92173583199997</v>
      </c>
      <c r="M16" s="415">
        <v>120.675711648</v>
      </c>
      <c r="N16" s="415">
        <f t="shared" si="3"/>
        <v>324.59744747999997</v>
      </c>
      <c r="O16" s="415">
        <f t="shared" si="4"/>
        <v>33.39749224800002</v>
      </c>
      <c r="P16" s="415">
        <f t="shared" si="4"/>
        <v>144.85476823172968</v>
      </c>
      <c r="Q16" s="415">
        <f t="shared" si="5"/>
        <v>178.25226047972973</v>
      </c>
    </row>
    <row r="17" spans="1:20" s="63" customFormat="1" x14ac:dyDescent="0.2">
      <c r="A17" s="17">
        <v>4</v>
      </c>
      <c r="B17" s="184" t="s">
        <v>878</v>
      </c>
      <c r="C17" s="415">
        <f>T5_PLAN_vs_PRFM!D15*2.61*254/100000</f>
        <v>677.84952060000001</v>
      </c>
      <c r="D17" s="415">
        <f>T5_PLAN_vs_PRFM!D15*254*1.74/100000</f>
        <v>451.89968039999997</v>
      </c>
      <c r="E17" s="415">
        <f t="shared" si="0"/>
        <v>1129.7492010000001</v>
      </c>
      <c r="F17" s="415">
        <v>-7.6635834799998293</v>
      </c>
      <c r="G17" s="415">
        <v>453.10818604278063</v>
      </c>
      <c r="H17" s="415">
        <f t="shared" si="1"/>
        <v>445.4446025627808</v>
      </c>
      <c r="I17" s="415">
        <v>693.36356000000001</v>
      </c>
      <c r="J17" s="415">
        <v>98.263472710526287</v>
      </c>
      <c r="K17" s="415">
        <f t="shared" si="2"/>
        <v>791.62703271052624</v>
      </c>
      <c r="L17" s="415">
        <v>609.40875569999992</v>
      </c>
      <c r="M17" s="415">
        <v>364.975735112</v>
      </c>
      <c r="N17" s="415">
        <f t="shared" si="3"/>
        <v>974.38449081199997</v>
      </c>
      <c r="O17" s="415">
        <f t="shared" si="4"/>
        <v>76.291220820000262</v>
      </c>
      <c r="P17" s="415">
        <f t="shared" si="4"/>
        <v>186.39592364130698</v>
      </c>
      <c r="Q17" s="415">
        <f t="shared" si="5"/>
        <v>262.68714446130707</v>
      </c>
    </row>
    <row r="18" spans="1:20" s="63" customFormat="1" x14ac:dyDescent="0.2">
      <c r="A18" s="17">
        <v>5</v>
      </c>
      <c r="B18" s="184" t="s">
        <v>879</v>
      </c>
      <c r="C18" s="415">
        <f>T5_PLAN_vs_PRFM!D16*2.61*254/100000</f>
        <v>359.32010939999998</v>
      </c>
      <c r="D18" s="415">
        <f>T5_PLAN_vs_PRFM!D16*254*1.74/100000</f>
        <v>239.5467396</v>
      </c>
      <c r="E18" s="415">
        <f>SUM(C18:D18)</f>
        <v>598.866849</v>
      </c>
      <c r="F18" s="415">
        <v>-25.854018920000044</v>
      </c>
      <c r="G18" s="415">
        <v>36.379335414364675</v>
      </c>
      <c r="H18" s="415">
        <f t="shared" si="1"/>
        <v>10.525316494364631</v>
      </c>
      <c r="I18" s="415">
        <v>394.33548999999999</v>
      </c>
      <c r="J18" s="415">
        <v>50.782387298076927</v>
      </c>
      <c r="K18" s="415">
        <f t="shared" si="2"/>
        <v>445.11787729807691</v>
      </c>
      <c r="L18" s="415">
        <v>313.29375181199998</v>
      </c>
      <c r="M18" s="415">
        <v>185.99334978399997</v>
      </c>
      <c r="N18" s="415">
        <f t="shared" si="3"/>
        <v>499.28710159599996</v>
      </c>
      <c r="O18" s="415">
        <f t="shared" si="4"/>
        <v>55.187719267999967</v>
      </c>
      <c r="P18" s="415">
        <f t="shared" si="4"/>
        <v>-98.831627071558373</v>
      </c>
      <c r="Q18" s="415">
        <f t="shared" si="5"/>
        <v>-43.64390780355842</v>
      </c>
      <c r="T18" s="63">
        <f>60/100*4.35</f>
        <v>2.61</v>
      </c>
    </row>
    <row r="19" spans="1:20" s="63" customFormat="1" x14ac:dyDescent="0.2">
      <c r="A19" s="17">
        <v>6</v>
      </c>
      <c r="B19" s="184" t="s">
        <v>880</v>
      </c>
      <c r="C19" s="415">
        <f>T5_PLAN_vs_PRFM!D17*2.61*254/100000</f>
        <v>570.43998179999994</v>
      </c>
      <c r="D19" s="415">
        <f>T5_PLAN_vs_PRFM!D17*254*1.74/100000</f>
        <v>380.29332119999998</v>
      </c>
      <c r="E19" s="415">
        <f t="shared" si="0"/>
        <v>950.73330299999998</v>
      </c>
      <c r="F19" s="415">
        <v>-230.8093303399998</v>
      </c>
      <c r="G19" s="415">
        <v>601.90397255135122</v>
      </c>
      <c r="H19" s="415">
        <f t="shared" si="1"/>
        <v>371.09464221135141</v>
      </c>
      <c r="I19" s="415">
        <v>848.14527999999996</v>
      </c>
      <c r="J19" s="415">
        <v>83.535594083333351</v>
      </c>
      <c r="K19" s="415">
        <f t="shared" si="2"/>
        <v>931.68087408333326</v>
      </c>
      <c r="L19" s="415">
        <v>534.93179570999996</v>
      </c>
      <c r="M19" s="415">
        <v>315.67360838799999</v>
      </c>
      <c r="N19" s="415">
        <f t="shared" si="3"/>
        <v>850.60540409800001</v>
      </c>
      <c r="O19" s="415">
        <f t="shared" si="4"/>
        <v>82.404153950000136</v>
      </c>
      <c r="P19" s="415">
        <f t="shared" si="4"/>
        <v>369.76595824668453</v>
      </c>
      <c r="Q19" s="415">
        <f t="shared" si="5"/>
        <v>452.17011219668461</v>
      </c>
      <c r="T19" s="63">
        <f>4.35-2.61</f>
        <v>1.7399999999999998</v>
      </c>
    </row>
    <row r="20" spans="1:20" s="63" customFormat="1" x14ac:dyDescent="0.2">
      <c r="A20" s="17">
        <v>7</v>
      </c>
      <c r="B20" s="184" t="s">
        <v>881</v>
      </c>
      <c r="C20" s="415">
        <f>T5_PLAN_vs_PRFM!D18*2.61*254/100000</f>
        <v>422.524809</v>
      </c>
      <c r="D20" s="415">
        <f>T5_PLAN_vs_PRFM!D18*254*1.74/100000</f>
        <v>281.68320600000004</v>
      </c>
      <c r="E20" s="415">
        <f t="shared" si="0"/>
        <v>704.20801500000005</v>
      </c>
      <c r="F20" s="415">
        <v>-49.391293079999912</v>
      </c>
      <c r="G20" s="415">
        <v>408.98023808510629</v>
      </c>
      <c r="H20" s="415">
        <f t="shared" si="1"/>
        <v>359.58894500510638</v>
      </c>
      <c r="I20" s="415">
        <v>452.98851999999999</v>
      </c>
      <c r="J20" s="415">
        <v>53.387745763392857</v>
      </c>
      <c r="K20" s="415">
        <f t="shared" si="2"/>
        <v>506.37626576339284</v>
      </c>
      <c r="L20" s="415">
        <v>347.239895316</v>
      </c>
      <c r="M20" s="415">
        <v>204.72991859999999</v>
      </c>
      <c r="N20" s="415">
        <f t="shared" si="3"/>
        <v>551.96981391600002</v>
      </c>
      <c r="O20" s="415">
        <f t="shared" si="4"/>
        <v>56.35733160400008</v>
      </c>
      <c r="P20" s="415">
        <f t="shared" si="4"/>
        <v>257.63806524849917</v>
      </c>
      <c r="Q20" s="415">
        <f t="shared" si="5"/>
        <v>313.9953968524992</v>
      </c>
    </row>
    <row r="21" spans="1:20" s="63" customFormat="1" x14ac:dyDescent="0.2">
      <c r="A21" s="17">
        <v>8</v>
      </c>
      <c r="B21" s="184" t="s">
        <v>882</v>
      </c>
      <c r="C21" s="415">
        <f>T5_PLAN_vs_PRFM!D19*2.61*254/100000</f>
        <v>895.58553419999998</v>
      </c>
      <c r="D21" s="415">
        <f>T5_PLAN_vs_PRFM!D19*254*1.74/100000</f>
        <v>597.05702280000003</v>
      </c>
      <c r="E21" s="415">
        <f t="shared" si="0"/>
        <v>1492.6425570000001</v>
      </c>
      <c r="F21" s="415">
        <v>22.362940120000189</v>
      </c>
      <c r="G21" s="415">
        <v>672.77895685863894</v>
      </c>
      <c r="H21" s="415">
        <f t="shared" si="1"/>
        <v>695.14189697863912</v>
      </c>
      <c r="I21" s="415">
        <v>867.15584000000001</v>
      </c>
      <c r="J21" s="415">
        <v>124.45337707211539</v>
      </c>
      <c r="K21" s="415">
        <f t="shared" si="2"/>
        <v>991.60921707211537</v>
      </c>
      <c r="L21" s="415">
        <v>761.04372392999994</v>
      </c>
      <c r="M21" s="415">
        <v>452.24909959599995</v>
      </c>
      <c r="N21" s="415">
        <f t="shared" si="3"/>
        <v>1213.2928235259999</v>
      </c>
      <c r="O21" s="415">
        <f t="shared" si="4"/>
        <v>128.47505619000026</v>
      </c>
      <c r="P21" s="415">
        <f t="shared" si="4"/>
        <v>344.98323433475434</v>
      </c>
      <c r="Q21" s="415">
        <f t="shared" si="5"/>
        <v>473.4582905247546</v>
      </c>
    </row>
    <row r="22" spans="1:20" s="63" customFormat="1" x14ac:dyDescent="0.2">
      <c r="A22" s="17">
        <v>9</v>
      </c>
      <c r="B22" s="184" t="s">
        <v>883</v>
      </c>
      <c r="C22" s="415">
        <f>T5_PLAN_vs_PRFM!D20*2.61*254/100000</f>
        <v>1246.1680944</v>
      </c>
      <c r="D22" s="415">
        <f>T5_PLAN_vs_PRFM!D20*254*1.74/100000</f>
        <v>830.77872959999991</v>
      </c>
      <c r="E22" s="415">
        <f t="shared" si="0"/>
        <v>2076.9468239999997</v>
      </c>
      <c r="F22" s="415">
        <v>-149.44926344000032</v>
      </c>
      <c r="G22" s="415">
        <v>1481.7789137837835</v>
      </c>
      <c r="H22" s="415">
        <f t="shared" si="1"/>
        <v>1332.3296503437832</v>
      </c>
      <c r="I22" s="415">
        <v>1334.0790500000003</v>
      </c>
      <c r="J22" s="415">
        <v>164.49554105769229</v>
      </c>
      <c r="K22" s="415">
        <f t="shared" si="2"/>
        <v>1498.5745910576925</v>
      </c>
      <c r="L22" s="415">
        <v>973.81925129999991</v>
      </c>
      <c r="M22" s="415">
        <v>573.84379679200003</v>
      </c>
      <c r="N22" s="415">
        <f t="shared" si="3"/>
        <v>1547.6630480919998</v>
      </c>
      <c r="O22" s="415">
        <f t="shared" si="4"/>
        <v>210.81053526000005</v>
      </c>
      <c r="P22" s="415">
        <f t="shared" si="4"/>
        <v>1072.4306580494758</v>
      </c>
      <c r="Q22" s="415">
        <f t="shared" si="5"/>
        <v>1283.2411933094759</v>
      </c>
    </row>
    <row r="23" spans="1:20" s="63" customFormat="1" x14ac:dyDescent="0.2">
      <c r="A23" s="17">
        <v>10</v>
      </c>
      <c r="B23" s="184" t="s">
        <v>884</v>
      </c>
      <c r="C23" s="415">
        <f>T5_PLAN_vs_PRFM!D21*2.61*254/100000</f>
        <v>438.0508638</v>
      </c>
      <c r="D23" s="415">
        <f>T5_PLAN_vs_PRFM!D21*254*1.74/100000</f>
        <v>292.03390919999998</v>
      </c>
      <c r="E23" s="415">
        <f t="shared" si="0"/>
        <v>730.08477300000004</v>
      </c>
      <c r="F23" s="415">
        <v>-13.887991399999805</v>
      </c>
      <c r="G23" s="415">
        <v>336.94118888888892</v>
      </c>
      <c r="H23" s="415">
        <f t="shared" si="1"/>
        <v>323.05319748888911</v>
      </c>
      <c r="I23" s="415">
        <v>451.06515999999999</v>
      </c>
      <c r="J23" s="415">
        <v>59.791383464999996</v>
      </c>
      <c r="K23" s="415">
        <f t="shared" si="2"/>
        <v>510.85654346499996</v>
      </c>
      <c r="L23" s="415">
        <v>354.057750312</v>
      </c>
      <c r="M23" s="415">
        <v>206.72256416000002</v>
      </c>
      <c r="N23" s="415">
        <f t="shared" si="3"/>
        <v>560.78031447199999</v>
      </c>
      <c r="O23" s="415">
        <f t="shared" si="4"/>
        <v>83.11941828800019</v>
      </c>
      <c r="P23" s="415">
        <f t="shared" si="4"/>
        <v>190.01000819388892</v>
      </c>
      <c r="Q23" s="415">
        <f t="shared" si="5"/>
        <v>273.12942648188903</v>
      </c>
    </row>
    <row r="24" spans="1:20" s="63" customFormat="1" x14ac:dyDescent="0.2">
      <c r="A24" s="17">
        <v>11</v>
      </c>
      <c r="B24" s="184" t="s">
        <v>885</v>
      </c>
      <c r="C24" s="415">
        <f>T5_PLAN_vs_PRFM!D22*2.61*254/100000</f>
        <v>731.85261300000002</v>
      </c>
      <c r="D24" s="415">
        <f>T5_PLAN_vs_PRFM!D22*254*1.74/100000</f>
        <v>487.90174200000001</v>
      </c>
      <c r="E24" s="415">
        <f t="shared" si="0"/>
        <v>1219.754355</v>
      </c>
      <c r="F24" s="415">
        <v>-65.928299640000205</v>
      </c>
      <c r="G24" s="415">
        <v>715.05194118279587</v>
      </c>
      <c r="H24" s="415">
        <f t="shared" si="1"/>
        <v>649.12364154279567</v>
      </c>
      <c r="I24" s="415">
        <v>729.27582000000007</v>
      </c>
      <c r="J24" s="415">
        <v>87.246472347222209</v>
      </c>
      <c r="K24" s="415">
        <f t="shared" si="2"/>
        <v>816.52229234722222</v>
      </c>
      <c r="L24" s="415">
        <v>572.14395946800005</v>
      </c>
      <c r="M24" s="415">
        <v>340.74716092000006</v>
      </c>
      <c r="N24" s="415">
        <f t="shared" si="3"/>
        <v>912.8911203880001</v>
      </c>
      <c r="O24" s="415">
        <f t="shared" si="4"/>
        <v>91.203560891999814</v>
      </c>
      <c r="P24" s="415">
        <f t="shared" si="4"/>
        <v>461.55125261001797</v>
      </c>
      <c r="Q24" s="415">
        <f t="shared" si="5"/>
        <v>552.75481350201778</v>
      </c>
    </row>
    <row r="25" spans="1:20" s="63" customFormat="1" x14ac:dyDescent="0.2">
      <c r="A25" s="17">
        <v>12</v>
      </c>
      <c r="B25" s="241" t="s">
        <v>886</v>
      </c>
      <c r="C25" s="415">
        <f>T5_PLAN_vs_PRFM!D23*2.61*254/100000</f>
        <v>684.39273839999987</v>
      </c>
      <c r="D25" s="415">
        <f>T5_PLAN_vs_PRFM!D23*254*1.74/100000</f>
        <v>456.26182560000001</v>
      </c>
      <c r="E25" s="415">
        <f t="shared" si="0"/>
        <v>1140.6545639999999</v>
      </c>
      <c r="F25" s="415">
        <v>126.62703539999995</v>
      </c>
      <c r="G25" s="415">
        <v>812.72063324324336</v>
      </c>
      <c r="H25" s="415">
        <f t="shared" si="1"/>
        <v>939.34766864324331</v>
      </c>
      <c r="I25" s="415">
        <v>557.10990000000004</v>
      </c>
      <c r="J25" s="415">
        <v>92.337340396551724</v>
      </c>
      <c r="K25" s="415">
        <f t="shared" si="2"/>
        <v>649.44724039655171</v>
      </c>
      <c r="L25" s="415">
        <v>572.40829510799995</v>
      </c>
      <c r="M25" s="415">
        <v>338.19524544800004</v>
      </c>
      <c r="N25" s="415">
        <f t="shared" si="3"/>
        <v>910.60354055599998</v>
      </c>
      <c r="O25" s="415">
        <f t="shared" si="4"/>
        <v>111.32864029200005</v>
      </c>
      <c r="P25" s="415">
        <f t="shared" si="4"/>
        <v>566.8627281917951</v>
      </c>
      <c r="Q25" s="415">
        <f t="shared" si="5"/>
        <v>678.19136848379515</v>
      </c>
    </row>
    <row r="26" spans="1:20" s="63" customFormat="1" x14ac:dyDescent="0.2">
      <c r="A26" s="17">
        <v>13</v>
      </c>
      <c r="B26" s="184" t="s">
        <v>887</v>
      </c>
      <c r="C26" s="415">
        <f>T5_PLAN_vs_PRFM!D24*2.61*254/100000</f>
        <v>288.05405940000003</v>
      </c>
      <c r="D26" s="415">
        <f>T5_PLAN_vs_PRFM!D24*254*1.74/100000</f>
        <v>192.03603960000001</v>
      </c>
      <c r="E26" s="415">
        <f t="shared" si="0"/>
        <v>480.09009900000001</v>
      </c>
      <c r="F26" s="415">
        <v>-3.5658623599999544</v>
      </c>
      <c r="G26" s="415">
        <v>683.87464236559128</v>
      </c>
      <c r="H26" s="415">
        <f t="shared" si="1"/>
        <v>680.3087800055913</v>
      </c>
      <c r="I26" s="415">
        <v>291.18984</v>
      </c>
      <c r="J26" s="415">
        <v>40.738394921052631</v>
      </c>
      <c r="K26" s="415">
        <f t="shared" si="2"/>
        <v>331.92823492105265</v>
      </c>
      <c r="L26" s="415">
        <v>247.104110604</v>
      </c>
      <c r="M26" s="415">
        <v>147.04860533600001</v>
      </c>
      <c r="N26" s="415">
        <f t="shared" si="3"/>
        <v>394.15271594000001</v>
      </c>
      <c r="O26" s="415">
        <f t="shared" si="4"/>
        <v>40.519867036000022</v>
      </c>
      <c r="P26" s="415">
        <f t="shared" si="4"/>
        <v>577.56443195064389</v>
      </c>
      <c r="Q26" s="415">
        <f t="shared" si="5"/>
        <v>618.08429898664394</v>
      </c>
    </row>
    <row r="27" spans="1:20" s="63" customFormat="1" x14ac:dyDescent="0.2">
      <c r="A27" s="17">
        <v>14</v>
      </c>
      <c r="B27" s="184" t="s">
        <v>888</v>
      </c>
      <c r="C27" s="415">
        <f>T5_PLAN_vs_PRFM!D25*2.61*254/100000</f>
        <v>432.50205600000004</v>
      </c>
      <c r="D27" s="415">
        <f>T5_PLAN_vs_PRFM!D25*254*1.74/100000</f>
        <v>288.33470399999999</v>
      </c>
      <c r="E27" s="415">
        <f t="shared" si="0"/>
        <v>720.83676000000003</v>
      </c>
      <c r="F27" s="415">
        <v>5.9251272399998243</v>
      </c>
      <c r="G27" s="415">
        <v>324.51980188172047</v>
      </c>
      <c r="H27" s="415">
        <f t="shared" si="1"/>
        <v>330.44492912172029</v>
      </c>
      <c r="I27" s="415">
        <v>320.69532999999996</v>
      </c>
      <c r="J27" s="415">
        <v>44.736296099999997</v>
      </c>
      <c r="K27" s="415">
        <f t="shared" si="2"/>
        <v>365.43162609999996</v>
      </c>
      <c r="L27" s="415">
        <v>262.76005716600002</v>
      </c>
      <c r="M27" s="415">
        <v>153.92019981200002</v>
      </c>
      <c r="N27" s="415">
        <f t="shared" si="3"/>
        <v>416.68025697800005</v>
      </c>
      <c r="O27" s="415">
        <f t="shared" si="4"/>
        <v>63.860400073999756</v>
      </c>
      <c r="P27" s="415">
        <f t="shared" si="4"/>
        <v>215.33589816972045</v>
      </c>
      <c r="Q27" s="415">
        <f t="shared" si="5"/>
        <v>279.19629824372026</v>
      </c>
    </row>
    <row r="28" spans="1:20" x14ac:dyDescent="0.2">
      <c r="A28" s="17">
        <v>15</v>
      </c>
      <c r="B28" s="184" t="s">
        <v>889</v>
      </c>
      <c r="C28" s="415">
        <f>T5_PLAN_vs_PRFM!D26*2.61*254/100000</f>
        <v>706.91281019999997</v>
      </c>
      <c r="D28" s="415">
        <f>T5_PLAN_vs_PRFM!D26*254*1.74/100000</f>
        <v>471.27520679999998</v>
      </c>
      <c r="E28" s="415">
        <f t="shared" si="0"/>
        <v>1178.1880169999999</v>
      </c>
      <c r="F28" s="415">
        <v>39.566418559999988</v>
      </c>
      <c r="G28" s="415">
        <v>649.34048925925936</v>
      </c>
      <c r="H28" s="415">
        <f t="shared" si="1"/>
        <v>688.90690781925935</v>
      </c>
      <c r="I28" s="415">
        <v>630.45101999999997</v>
      </c>
      <c r="J28" s="415">
        <v>95.519321017241367</v>
      </c>
      <c r="K28" s="415">
        <f t="shared" si="2"/>
        <v>725.97034101724137</v>
      </c>
      <c r="L28" s="415">
        <v>566.47094323800002</v>
      </c>
      <c r="M28" s="415">
        <v>337.18182641999999</v>
      </c>
      <c r="N28" s="415">
        <f t="shared" si="3"/>
        <v>903.65276965800001</v>
      </c>
      <c r="O28" s="415">
        <f t="shared" si="4"/>
        <v>103.54649532199994</v>
      </c>
      <c r="P28" s="415">
        <f t="shared" si="4"/>
        <v>407.67798385650076</v>
      </c>
      <c r="Q28" s="415">
        <f t="shared" si="5"/>
        <v>511.2244791785007</v>
      </c>
    </row>
    <row r="29" spans="1:20" x14ac:dyDescent="0.2">
      <c r="A29" s="17">
        <v>16</v>
      </c>
      <c r="B29" s="184" t="s">
        <v>890</v>
      </c>
      <c r="C29" s="415">
        <f>T5_PLAN_vs_PRFM!D27*2.61*254/100000</f>
        <v>1156.2402834</v>
      </c>
      <c r="D29" s="415">
        <f>T5_PLAN_vs_PRFM!D27*254*1.74/100000</f>
        <v>770.82685560000004</v>
      </c>
      <c r="E29" s="415">
        <f t="shared" si="0"/>
        <v>1927.067139</v>
      </c>
      <c r="F29" s="415">
        <v>16.947765119999985</v>
      </c>
      <c r="G29" s="415">
        <v>1355.2636514438507</v>
      </c>
      <c r="H29" s="415">
        <f t="shared" si="1"/>
        <v>1372.2114165638507</v>
      </c>
      <c r="I29" s="415">
        <v>953.04041000000007</v>
      </c>
      <c r="J29" s="415">
        <v>117.76797629999999</v>
      </c>
      <c r="K29" s="415">
        <f t="shared" si="2"/>
        <v>1070.8083863000002</v>
      </c>
      <c r="L29" s="415">
        <v>895.25348665199999</v>
      </c>
      <c r="M29" s="415">
        <v>541.80598488800001</v>
      </c>
      <c r="N29" s="415">
        <f t="shared" si="3"/>
        <v>1437.05947154</v>
      </c>
      <c r="O29" s="415">
        <f t="shared" si="4"/>
        <v>74.734688468000058</v>
      </c>
      <c r="P29" s="415">
        <f t="shared" si="4"/>
        <v>931.22564285585054</v>
      </c>
      <c r="Q29" s="415">
        <f t="shared" si="5"/>
        <v>1005.9603313238506</v>
      </c>
    </row>
    <row r="30" spans="1:20" x14ac:dyDescent="0.2">
      <c r="A30" s="17">
        <v>17</v>
      </c>
      <c r="B30" s="184" t="s">
        <v>891</v>
      </c>
      <c r="C30" s="415">
        <f>T5_PLAN_vs_PRFM!D28*2.61*254/100000</f>
        <v>795.2031594</v>
      </c>
      <c r="D30" s="415">
        <f>T5_PLAN_vs_PRFM!D28*254*1.74/100000</f>
        <v>530.13543960000004</v>
      </c>
      <c r="E30" s="415">
        <f t="shared" si="0"/>
        <v>1325.3385990000002</v>
      </c>
      <c r="F30" s="415">
        <v>18.386808039999892</v>
      </c>
      <c r="G30" s="415">
        <v>562.34494800000004</v>
      </c>
      <c r="H30" s="415">
        <f t="shared" si="1"/>
        <v>580.73175603999994</v>
      </c>
      <c r="I30" s="415">
        <v>677.76288</v>
      </c>
      <c r="J30" s="415">
        <v>93.597190770491792</v>
      </c>
      <c r="K30" s="415">
        <f t="shared" si="2"/>
        <v>771.3600707704918</v>
      </c>
      <c r="L30" s="415">
        <v>566.17082933999995</v>
      </c>
      <c r="M30" s="415">
        <v>336.39268032799998</v>
      </c>
      <c r="N30" s="415">
        <f t="shared" si="3"/>
        <v>902.56350966799994</v>
      </c>
      <c r="O30" s="415">
        <f t="shared" si="4"/>
        <v>129.97885869999993</v>
      </c>
      <c r="P30" s="415">
        <f t="shared" si="4"/>
        <v>319.54945844249187</v>
      </c>
      <c r="Q30" s="415">
        <f t="shared" si="5"/>
        <v>449.5283171424918</v>
      </c>
    </row>
    <row r="31" spans="1:20" x14ac:dyDescent="0.2">
      <c r="A31" s="17">
        <v>18</v>
      </c>
      <c r="B31" s="184" t="s">
        <v>892</v>
      </c>
      <c r="C31" s="415">
        <f>T5_PLAN_vs_PRFM!D29*2.61*254/100000</f>
        <v>607.4320338</v>
      </c>
      <c r="D31" s="415">
        <f>T5_PLAN_vs_PRFM!D29*254*1.74/100000</f>
        <v>404.95468920000002</v>
      </c>
      <c r="E31" s="415">
        <f t="shared" si="0"/>
        <v>1012.3867230000001</v>
      </c>
      <c r="F31" s="415">
        <v>-35.299646760000201</v>
      </c>
      <c r="G31" s="415">
        <v>686.76280401069516</v>
      </c>
      <c r="H31" s="415">
        <f t="shared" si="1"/>
        <v>651.46315725069496</v>
      </c>
      <c r="I31" s="415">
        <v>621.20300000000009</v>
      </c>
      <c r="J31" s="415">
        <v>80.402064874999994</v>
      </c>
      <c r="K31" s="415">
        <f t="shared" si="2"/>
        <v>701.60506487500004</v>
      </c>
      <c r="L31" s="415">
        <v>496.23164526599993</v>
      </c>
      <c r="M31" s="415">
        <v>293.34939538800006</v>
      </c>
      <c r="N31" s="415">
        <f t="shared" si="3"/>
        <v>789.58104065399993</v>
      </c>
      <c r="O31" s="415">
        <f t="shared" si="4"/>
        <v>89.671707973999958</v>
      </c>
      <c r="P31" s="415">
        <f t="shared" si="4"/>
        <v>473.81547349769505</v>
      </c>
      <c r="Q31" s="415">
        <f t="shared" si="5"/>
        <v>563.48718147169507</v>
      </c>
    </row>
    <row r="32" spans="1:20" x14ac:dyDescent="0.2">
      <c r="A32" s="17">
        <v>19</v>
      </c>
      <c r="B32" s="184" t="s">
        <v>893</v>
      </c>
      <c r="C32" s="415">
        <f>T5_PLAN_vs_PRFM!D30*2.61*254/100000</f>
        <v>624.84083820000001</v>
      </c>
      <c r="D32" s="415">
        <f>T5_PLAN_vs_PRFM!D30*254*1.74/100000</f>
        <v>416.56055880000002</v>
      </c>
      <c r="E32" s="415">
        <f t="shared" si="0"/>
        <v>1041.4013970000001</v>
      </c>
      <c r="F32" s="415">
        <v>-88.037438080000129</v>
      </c>
      <c r="G32" s="415">
        <v>583.28855367021276</v>
      </c>
      <c r="H32" s="415">
        <f t="shared" si="1"/>
        <v>495.25111559021263</v>
      </c>
      <c r="I32" s="415">
        <v>606.46983</v>
      </c>
      <c r="J32" s="415">
        <v>64.248658649999996</v>
      </c>
      <c r="K32" s="415">
        <f t="shared" si="2"/>
        <v>670.71848865000004</v>
      </c>
      <c r="L32" s="415">
        <v>469.96425320399999</v>
      </c>
      <c r="M32" s="415">
        <v>287.07674655199997</v>
      </c>
      <c r="N32" s="415">
        <f t="shared" si="3"/>
        <v>757.04099975600002</v>
      </c>
      <c r="O32" s="415">
        <f t="shared" si="4"/>
        <v>48.468138715999885</v>
      </c>
      <c r="P32" s="415">
        <f t="shared" si="4"/>
        <v>360.46046576821283</v>
      </c>
      <c r="Q32" s="415">
        <f t="shared" si="5"/>
        <v>408.92860448421266</v>
      </c>
    </row>
    <row r="33" spans="1:18" x14ac:dyDescent="0.2">
      <c r="A33" s="17">
        <v>20</v>
      </c>
      <c r="B33" s="184" t="s">
        <v>894</v>
      </c>
      <c r="C33" s="415">
        <f>T5_PLAN_vs_PRFM!D31*2.61*254/100000</f>
        <v>384.91622280000001</v>
      </c>
      <c r="D33" s="415">
        <f>T5_PLAN_vs_PRFM!D31*254*1.74/100000</f>
        <v>256.61081519999999</v>
      </c>
      <c r="E33" s="415">
        <f t="shared" si="0"/>
        <v>641.52703799999995</v>
      </c>
      <c r="F33" s="415">
        <v>-8.0955724800001008</v>
      </c>
      <c r="G33" s="415">
        <v>218.77798210526308</v>
      </c>
      <c r="H33" s="415">
        <f t="shared" si="1"/>
        <v>210.68240962526298</v>
      </c>
      <c r="I33" s="415">
        <v>378.22702000000004</v>
      </c>
      <c r="J33" s="415">
        <v>51.792022160377364</v>
      </c>
      <c r="K33" s="415">
        <f t="shared" si="2"/>
        <v>430.01904216037741</v>
      </c>
      <c r="L33" s="415">
        <v>336.20662421399999</v>
      </c>
      <c r="M33" s="415">
        <v>200.626544948</v>
      </c>
      <c r="N33" s="415">
        <f t="shared" si="3"/>
        <v>536.83316916199999</v>
      </c>
      <c r="O33" s="415">
        <f t="shared" si="4"/>
        <v>33.924823305999951</v>
      </c>
      <c r="P33" s="415">
        <f t="shared" si="4"/>
        <v>69.943459317640418</v>
      </c>
      <c r="Q33" s="415">
        <f t="shared" si="5"/>
        <v>103.86828262364043</v>
      </c>
    </row>
    <row r="34" spans="1:18" x14ac:dyDescent="0.2">
      <c r="A34" s="17">
        <v>21</v>
      </c>
      <c r="B34" s="184" t="s">
        <v>895</v>
      </c>
      <c r="C34" s="415">
        <f>T5_PLAN_vs_PRFM!D32*2.61*254/100000</f>
        <v>625.36456079999994</v>
      </c>
      <c r="D34" s="415">
        <f>T5_PLAN_vs_PRFM!D32*254*1.74/100000</f>
        <v>416.90970720000001</v>
      </c>
      <c r="E34" s="415">
        <f t="shared" si="0"/>
        <v>1042.2742679999999</v>
      </c>
      <c r="F34" s="415">
        <v>-98.236134719999995</v>
      </c>
      <c r="G34" s="415">
        <v>448.73609968085105</v>
      </c>
      <c r="H34" s="415">
        <f t="shared" si="1"/>
        <v>350.49996496085106</v>
      </c>
      <c r="I34" s="415">
        <v>676.62295999999992</v>
      </c>
      <c r="J34" s="415">
        <v>76.59531471428572</v>
      </c>
      <c r="K34" s="415">
        <f t="shared" si="2"/>
        <v>753.2182747142856</v>
      </c>
      <c r="L34" s="415">
        <v>450.43313908800002</v>
      </c>
      <c r="M34" s="415">
        <v>267.49221793600003</v>
      </c>
      <c r="N34" s="415">
        <f t="shared" si="3"/>
        <v>717.92535702400005</v>
      </c>
      <c r="O34" s="415">
        <f t="shared" si="4"/>
        <v>127.95368619199991</v>
      </c>
      <c r="P34" s="415">
        <f t="shared" si="4"/>
        <v>257.83919645913676</v>
      </c>
      <c r="Q34" s="415">
        <f t="shared" si="5"/>
        <v>385.79288265113655</v>
      </c>
    </row>
    <row r="35" spans="1:18" x14ac:dyDescent="0.2">
      <c r="A35" s="17">
        <v>22</v>
      </c>
      <c r="B35" s="184" t="s">
        <v>896</v>
      </c>
      <c r="C35" s="415">
        <f>T5_PLAN_vs_PRFM!D33*2.61*254/100000</f>
        <v>480.86352899999991</v>
      </c>
      <c r="D35" s="415">
        <f>T5_PLAN_vs_PRFM!D33*254*1.74/100000</f>
        <v>320.57568600000002</v>
      </c>
      <c r="E35" s="415">
        <f t="shared" si="0"/>
        <v>801.43921499999988</v>
      </c>
      <c r="F35" s="415">
        <v>-23.683831520000126</v>
      </c>
      <c r="G35" s="415">
        <v>26.838440810810937</v>
      </c>
      <c r="H35" s="415">
        <f t="shared" si="1"/>
        <v>3.1546092908108108</v>
      </c>
      <c r="I35" s="415">
        <v>449.52069</v>
      </c>
      <c r="J35" s="415">
        <v>59.916595370689649</v>
      </c>
      <c r="K35" s="415">
        <f t="shared" si="2"/>
        <v>509.43728537068966</v>
      </c>
      <c r="L35" s="415">
        <v>338.02998907199998</v>
      </c>
      <c r="M35" s="415">
        <v>199.23343510400002</v>
      </c>
      <c r="N35" s="415">
        <f t="shared" si="3"/>
        <v>537.26342417599994</v>
      </c>
      <c r="O35" s="415">
        <f t="shared" si="4"/>
        <v>87.806869407999898</v>
      </c>
      <c r="P35" s="415">
        <f t="shared" si="4"/>
        <v>-112.47839892249944</v>
      </c>
      <c r="Q35" s="415">
        <f t="shared" si="5"/>
        <v>-24.671529514499525</v>
      </c>
    </row>
    <row r="36" spans="1:18" x14ac:dyDescent="0.2">
      <c r="A36" s="17">
        <v>23</v>
      </c>
      <c r="B36" s="184" t="s">
        <v>897</v>
      </c>
      <c r="C36" s="415">
        <f>T5_PLAN_vs_PRFM!D34*2.61*254/100000</f>
        <v>700.71432119999986</v>
      </c>
      <c r="D36" s="415">
        <f>T5_PLAN_vs_PRFM!D34*254*1.74/100000</f>
        <v>467.1428808</v>
      </c>
      <c r="E36" s="415">
        <f t="shared" si="0"/>
        <v>1167.8572019999999</v>
      </c>
      <c r="F36" s="415">
        <v>-165.75673035999989</v>
      </c>
      <c r="G36" s="415">
        <v>634.81132916230365</v>
      </c>
      <c r="H36" s="415">
        <f t="shared" si="1"/>
        <v>469.05459880230376</v>
      </c>
      <c r="I36" s="415">
        <v>857.44243000000006</v>
      </c>
      <c r="J36" s="415">
        <v>101.3917784868421</v>
      </c>
      <c r="K36" s="415">
        <f t="shared" si="2"/>
        <v>958.83420848684216</v>
      </c>
      <c r="L36" s="415">
        <v>579.71300252999993</v>
      </c>
      <c r="M36" s="415">
        <v>347.67927142000008</v>
      </c>
      <c r="N36" s="415">
        <f t="shared" si="3"/>
        <v>927.39227395</v>
      </c>
      <c r="O36" s="415">
        <f t="shared" si="4"/>
        <v>111.97269711000024</v>
      </c>
      <c r="P36" s="415">
        <f t="shared" si="4"/>
        <v>388.52383622914567</v>
      </c>
      <c r="Q36" s="415">
        <f t="shared" si="5"/>
        <v>500.49653333914591</v>
      </c>
    </row>
    <row r="37" spans="1:18" x14ac:dyDescent="0.2">
      <c r="A37" s="17">
        <v>24</v>
      </c>
      <c r="B37" s="184" t="s">
        <v>898</v>
      </c>
      <c r="C37" s="415">
        <f>T5_PLAN_vs_PRFM!D35*2.61*254/100000</f>
        <v>652.31970119999994</v>
      </c>
      <c r="D37" s="415">
        <f>T5_PLAN_vs_PRFM!D35*254*1.74/100000</f>
        <v>434.8798008</v>
      </c>
      <c r="E37" s="415">
        <f t="shared" si="0"/>
        <v>1087.1995019999999</v>
      </c>
      <c r="F37" s="415">
        <v>-27.218759999999747</v>
      </c>
      <c r="G37" s="415">
        <v>140.27764185393261</v>
      </c>
      <c r="H37" s="415">
        <f t="shared" si="1"/>
        <v>113.05888185393286</v>
      </c>
      <c r="I37" s="415">
        <v>782.14386999999999</v>
      </c>
      <c r="J37" s="415">
        <v>84.536643823770476</v>
      </c>
      <c r="K37" s="415">
        <f t="shared" si="2"/>
        <v>866.68051382377053</v>
      </c>
      <c r="L37" s="415">
        <v>670.12968652200004</v>
      </c>
      <c r="M37" s="415">
        <v>398.77308393199996</v>
      </c>
      <c r="N37" s="415">
        <f t="shared" si="3"/>
        <v>1068.9027704539999</v>
      </c>
      <c r="O37" s="415">
        <f t="shared" si="4"/>
        <v>84.795423478000203</v>
      </c>
      <c r="P37" s="415">
        <f t="shared" si="4"/>
        <v>-173.95879825429688</v>
      </c>
      <c r="Q37" s="415">
        <f t="shared" si="5"/>
        <v>-89.16337477629645</v>
      </c>
    </row>
    <row r="38" spans="1:18" s="14" customFormat="1" x14ac:dyDescent="0.2">
      <c r="A38" s="725" t="s">
        <v>15</v>
      </c>
      <c r="B38" s="725"/>
      <c r="C38" s="418">
        <f t="shared" ref="C38:H38" si="6">SUM(C14:C37)</f>
        <v>14923.5285222</v>
      </c>
      <c r="D38" s="418">
        <f t="shared" si="6"/>
        <v>9949.0190147999983</v>
      </c>
      <c r="E38" s="418">
        <f t="shared" si="6"/>
        <v>24872.547537000002</v>
      </c>
      <c r="F38" s="418">
        <f t="shared" si="6"/>
        <v>-750.71774998000012</v>
      </c>
      <c r="G38" s="418">
        <f t="shared" si="6"/>
        <v>13250.483597578737</v>
      </c>
      <c r="H38" s="418">
        <f t="shared" si="6"/>
        <v>12499.765847598737</v>
      </c>
      <c r="I38" s="418">
        <f t="shared" ref="I38:Q38" si="7">SUM(I14:I37)</f>
        <v>14991.07631</v>
      </c>
      <c r="J38" s="418">
        <f t="shared" si="7"/>
        <v>1917.431879014008</v>
      </c>
      <c r="K38" s="418">
        <f t="shared" si="7"/>
        <v>16908.508189014006</v>
      </c>
      <c r="L38" s="418">
        <f t="shared" si="7"/>
        <v>12162.345041609999</v>
      </c>
      <c r="M38" s="418">
        <f t="shared" si="7"/>
        <v>7234.6249120280008</v>
      </c>
      <c r="N38" s="418">
        <f t="shared" si="7"/>
        <v>19396.969953637996</v>
      </c>
      <c r="O38" s="418">
        <f t="shared" si="7"/>
        <v>2078.0135184100009</v>
      </c>
      <c r="P38" s="418">
        <f t="shared" si="7"/>
        <v>7933.2905645647452</v>
      </c>
      <c r="Q38" s="418">
        <f t="shared" si="7"/>
        <v>10011.304082974746</v>
      </c>
    </row>
    <row r="39" spans="1:18" x14ac:dyDescent="0.2">
      <c r="A39" s="11"/>
      <c r="B39" s="29"/>
      <c r="C39" s="29"/>
      <c r="D39" s="2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8" ht="14.25" customHeight="1" x14ac:dyDescent="0.2">
      <c r="A40" s="922" t="s">
        <v>662</v>
      </c>
      <c r="B40" s="922"/>
      <c r="C40" s="922"/>
      <c r="D40" s="922"/>
      <c r="E40" s="922"/>
      <c r="F40" s="922"/>
      <c r="G40" s="922"/>
      <c r="H40" s="922"/>
      <c r="I40" s="922"/>
      <c r="J40" s="922"/>
      <c r="K40" s="922"/>
      <c r="L40" s="922"/>
      <c r="M40" s="922"/>
      <c r="N40" s="922"/>
      <c r="O40" s="922"/>
      <c r="P40" s="922"/>
      <c r="Q40" s="922"/>
    </row>
    <row r="41" spans="1:18" ht="14.25" customHeight="1" x14ac:dyDescent="0.2">
      <c r="A41" s="555"/>
      <c r="B41" s="555" t="s">
        <v>1117</v>
      </c>
      <c r="C41" s="716">
        <f>'T7ACC_UPY_Utlsn  (2)'!C37</f>
        <v>9533.3282175999993</v>
      </c>
      <c r="D41" s="716">
        <f>'T7ACC_UPY_Utlsn  (2)'!D37</f>
        <v>6339.2975360000009</v>
      </c>
      <c r="E41" s="716">
        <f>'T7ACC_UPY_Utlsn  (2)'!E37</f>
        <v>15872.625753599999</v>
      </c>
      <c r="F41" s="716">
        <f>'T7ACC_UPY_Utlsn  (2)'!F37</f>
        <v>472.13503586000024</v>
      </c>
      <c r="G41" s="716">
        <f>'T7ACC_UPY_Utlsn  (2)'!G37</f>
        <v>6626.2083117980437</v>
      </c>
      <c r="H41" s="716">
        <f>'T7ACC_UPY_Utlsn  (2)'!H37</f>
        <v>7098.3433476580431</v>
      </c>
      <c r="I41" s="716">
        <f>'T7ACC_UPY_Utlsn  (2)'!I37</f>
        <v>9465.77376</v>
      </c>
      <c r="J41" s="716">
        <f>'T7ACC_UPY_Utlsn  (2)'!J37</f>
        <v>1383.7071206983726</v>
      </c>
      <c r="K41" s="716">
        <f>'T7ACC_UPY_Utlsn  (2)'!K37</f>
        <v>10849.480880698375</v>
      </c>
      <c r="L41" s="716">
        <f>'T7ACC_UPY_Utlsn  (2)'!L37</f>
        <v>8064.4867921223977</v>
      </c>
      <c r="M41" s="716">
        <f>'T7ACC_UPY_Utlsn  (2)'!M37</f>
        <v>5376.3245280816</v>
      </c>
      <c r="N41" s="716">
        <f>'T7ACC_UPY_Utlsn  (2)'!N37</f>
        <v>13440.811320204</v>
      </c>
      <c r="O41" s="716">
        <f>'T7ACC_UPY_Utlsn  (2)'!O37</f>
        <v>1873.4220037376006</v>
      </c>
      <c r="P41" s="716">
        <f>'T7ACC_UPY_Utlsn  (2)'!P37</f>
        <v>2633.5909044148157</v>
      </c>
      <c r="Q41" s="716">
        <f>'T7ACC_UPY_Utlsn  (2)'!Q37</f>
        <v>4507.0129081524155</v>
      </c>
    </row>
    <row r="42" spans="1:18" ht="14.25" customHeight="1" x14ac:dyDescent="0.2">
      <c r="A42" s="555"/>
      <c r="B42" s="555"/>
      <c r="C42" s="717">
        <f>SUM(C38+C41)</f>
        <v>24456.856739800001</v>
      </c>
      <c r="D42" s="717">
        <f t="shared" ref="D42:Q42" si="8">SUM(D38+D41)</f>
        <v>16288.316550799998</v>
      </c>
      <c r="E42" s="717">
        <f t="shared" si="8"/>
        <v>40745.173290600003</v>
      </c>
      <c r="F42" s="717">
        <f t="shared" si="8"/>
        <v>-278.58271411999988</v>
      </c>
      <c r="G42" s="717">
        <f t="shared" si="8"/>
        <v>19876.691909376779</v>
      </c>
      <c r="H42" s="717">
        <f t="shared" si="8"/>
        <v>19598.10919525678</v>
      </c>
      <c r="I42" s="717">
        <f t="shared" si="8"/>
        <v>24456.85007</v>
      </c>
      <c r="J42" s="717">
        <f t="shared" si="8"/>
        <v>3301.1389997123806</v>
      </c>
      <c r="K42" s="717">
        <f t="shared" si="8"/>
        <v>27757.989069712381</v>
      </c>
      <c r="L42" s="717">
        <f t="shared" si="8"/>
        <v>20226.831833732394</v>
      </c>
      <c r="M42" s="717">
        <f t="shared" si="8"/>
        <v>12610.949440109602</v>
      </c>
      <c r="N42" s="717">
        <f t="shared" si="8"/>
        <v>32837.781273841996</v>
      </c>
      <c r="O42" s="717">
        <f t="shared" si="8"/>
        <v>3951.4355221476017</v>
      </c>
      <c r="P42" s="717">
        <f t="shared" si="8"/>
        <v>10566.881468979562</v>
      </c>
      <c r="Q42" s="717">
        <f t="shared" si="8"/>
        <v>14518.316991127162</v>
      </c>
    </row>
    <row r="43" spans="1:18" ht="14.25" customHeight="1" x14ac:dyDescent="0.2">
      <c r="A43" s="555"/>
      <c r="B43" s="555"/>
      <c r="C43" s="555"/>
      <c r="D43" s="718">
        <f>D42/$C$42</f>
        <v>0.66600204286649467</v>
      </c>
      <c r="E43" s="718"/>
      <c r="F43" s="718"/>
      <c r="G43" s="718"/>
      <c r="H43" s="718">
        <f>H42/$E$42</f>
        <v>0.48099216698577901</v>
      </c>
      <c r="I43" s="718"/>
      <c r="J43" s="718"/>
      <c r="K43" s="718">
        <f>K42/$E$42</f>
        <v>0.68125833879116693</v>
      </c>
      <c r="L43" s="718"/>
      <c r="M43" s="718"/>
      <c r="N43" s="718">
        <f>N42/$E$42</f>
        <v>0.8059305832285597</v>
      </c>
      <c r="O43" s="718"/>
      <c r="P43" s="718"/>
      <c r="Q43" s="718">
        <f>Q42/$E$42</f>
        <v>0.35631992254838607</v>
      </c>
    </row>
    <row r="44" spans="1:18" ht="14.25" customHeight="1" x14ac:dyDescent="0.2">
      <c r="A44" s="670" t="s">
        <v>11</v>
      </c>
      <c r="B44" s="670"/>
      <c r="C44" s="670"/>
      <c r="D44" s="670"/>
      <c r="E44" s="670"/>
      <c r="F44" s="670"/>
      <c r="G44" s="670"/>
      <c r="H44" s="670"/>
      <c r="I44" s="670"/>
      <c r="J44" s="670"/>
      <c r="K44" s="670"/>
      <c r="L44" s="670"/>
      <c r="M44" s="670"/>
      <c r="N44" s="669"/>
      <c r="O44" s="669"/>
      <c r="P44" s="758" t="s">
        <v>1107</v>
      </c>
      <c r="Q44" s="758"/>
      <c r="R44" s="669"/>
    </row>
    <row r="45" spans="1:18" ht="14.25" customHeight="1" x14ac:dyDescent="0.2">
      <c r="A45" s="758" t="s">
        <v>1108</v>
      </c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669"/>
    </row>
    <row r="46" spans="1:18" ht="15.75" customHeight="1" x14ac:dyDescent="0.2">
      <c r="A46" s="758" t="s">
        <v>1111</v>
      </c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669"/>
    </row>
    <row r="47" spans="1:18" x14ac:dyDescent="0.2">
      <c r="A47" s="670"/>
      <c r="B47" s="670"/>
      <c r="C47" s="670"/>
      <c r="D47" s="670"/>
      <c r="E47" s="670"/>
      <c r="F47" s="670"/>
      <c r="G47" s="670"/>
      <c r="H47" s="670"/>
      <c r="I47" s="670"/>
      <c r="J47" s="670"/>
      <c r="K47" s="670"/>
      <c r="L47" s="670"/>
      <c r="M47" s="670"/>
      <c r="N47" s="669"/>
      <c r="O47" s="756" t="s">
        <v>1110</v>
      </c>
      <c r="P47" s="756"/>
      <c r="Q47" s="756"/>
      <c r="R47" s="756"/>
    </row>
  </sheetData>
  <mergeCells count="18">
    <mergeCell ref="A46:Q46"/>
    <mergeCell ref="O47:R47"/>
    <mergeCell ref="L11:N11"/>
    <mergeCell ref="O11:Q11"/>
    <mergeCell ref="A40:Q40"/>
    <mergeCell ref="I11:K11"/>
    <mergeCell ref="A38:B38"/>
    <mergeCell ref="A45:Q45"/>
    <mergeCell ref="P44:Q44"/>
    <mergeCell ref="P1:Q1"/>
    <mergeCell ref="A2:Q2"/>
    <mergeCell ref="A3:Q3"/>
    <mergeCell ref="A6:Q6"/>
    <mergeCell ref="N10:Q10"/>
    <mergeCell ref="A11:A12"/>
    <mergeCell ref="B11:B12"/>
    <mergeCell ref="C11:E11"/>
    <mergeCell ref="F11:H11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5"/>
  <sheetViews>
    <sheetView view="pageBreakPreview" topLeftCell="A11" zoomScale="90" zoomScaleNormal="100" zoomScaleSheetLayoutView="90" workbookViewId="0">
      <selection activeCell="N37" sqref="N37"/>
    </sheetView>
  </sheetViews>
  <sheetFormatPr defaultRowHeight="12.75" x14ac:dyDescent="0.2"/>
  <cols>
    <col min="1" max="1" width="7.42578125" style="15" customWidth="1"/>
    <col min="2" max="2" width="17.140625" style="15" customWidth="1"/>
    <col min="3" max="17" width="10.7109375" style="15" customWidth="1"/>
    <col min="18" max="18" width="9.140625" style="15"/>
    <col min="19" max="19" width="6.140625" style="15" customWidth="1"/>
    <col min="20" max="20" width="6.7109375" style="15" customWidth="1"/>
    <col min="21" max="16384" width="9.140625" style="15"/>
  </cols>
  <sheetData>
    <row r="1" spans="1:21" customFormat="1" ht="15" x14ac:dyDescent="0.2">
      <c r="H1" s="33"/>
      <c r="I1" s="33"/>
      <c r="J1" s="33"/>
      <c r="K1" s="33"/>
      <c r="L1" s="33"/>
      <c r="M1" s="33"/>
      <c r="N1" s="33"/>
      <c r="O1" s="33"/>
      <c r="P1" s="871" t="s">
        <v>86</v>
      </c>
      <c r="Q1" s="871"/>
      <c r="R1" s="876"/>
      <c r="S1" s="15"/>
      <c r="T1" s="39"/>
      <c r="U1" s="39"/>
    </row>
    <row r="2" spans="1:21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6"/>
      <c r="S2" s="41"/>
      <c r="T2" s="41"/>
      <c r="U2" s="41"/>
    </row>
    <row r="3" spans="1:21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876"/>
      <c r="S3" s="40"/>
      <c r="T3" s="40"/>
      <c r="U3" s="40"/>
    </row>
    <row r="4" spans="1:21" customFormat="1" x14ac:dyDescent="0.2">
      <c r="R4" s="876"/>
    </row>
    <row r="5" spans="1:21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  <c r="R5" s="876"/>
    </row>
    <row r="6" spans="1:21" ht="15.75" x14ac:dyDescent="0.25">
      <c r="A6" s="790" t="s">
        <v>838</v>
      </c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876"/>
    </row>
    <row r="7" spans="1:21" x14ac:dyDescent="0.2">
      <c r="R7" s="876"/>
    </row>
    <row r="8" spans="1:21" x14ac:dyDescent="0.2">
      <c r="A8" s="33" t="s">
        <v>1098</v>
      </c>
      <c r="B8" s="33"/>
      <c r="Q8" s="31" t="s">
        <v>18</v>
      </c>
      <c r="R8" s="876"/>
    </row>
    <row r="9" spans="1:21" ht="15.75" x14ac:dyDescent="0.25">
      <c r="A9" s="13"/>
      <c r="N9" s="898" t="s">
        <v>773</v>
      </c>
      <c r="O9" s="898"/>
      <c r="P9" s="898"/>
      <c r="Q9" s="898"/>
      <c r="R9" s="876"/>
      <c r="S9" s="20"/>
    </row>
    <row r="10" spans="1:21" ht="37.15" customHeight="1" x14ac:dyDescent="0.2">
      <c r="A10" s="775" t="s">
        <v>1</v>
      </c>
      <c r="B10" s="775" t="s">
        <v>2</v>
      </c>
      <c r="C10" s="775" t="s">
        <v>752</v>
      </c>
      <c r="D10" s="775"/>
      <c r="E10" s="775"/>
      <c r="F10" s="775" t="s">
        <v>784</v>
      </c>
      <c r="G10" s="775"/>
      <c r="H10" s="775"/>
      <c r="I10" s="775" t="s">
        <v>364</v>
      </c>
      <c r="J10" s="775"/>
      <c r="K10" s="775"/>
      <c r="L10" s="775" t="s">
        <v>87</v>
      </c>
      <c r="M10" s="775"/>
      <c r="N10" s="775"/>
      <c r="O10" s="923" t="s">
        <v>783</v>
      </c>
      <c r="P10" s="923"/>
      <c r="Q10" s="923"/>
      <c r="R10" s="876"/>
    </row>
    <row r="11" spans="1:21" ht="39.75" customHeight="1" x14ac:dyDescent="0.2">
      <c r="A11" s="775"/>
      <c r="B11" s="775"/>
      <c r="C11" s="5" t="s">
        <v>106</v>
      </c>
      <c r="D11" s="5" t="s">
        <v>659</v>
      </c>
      <c r="E11" s="36" t="s">
        <v>15</v>
      </c>
      <c r="F11" s="5" t="s">
        <v>106</v>
      </c>
      <c r="G11" s="5" t="s">
        <v>660</v>
      </c>
      <c r="H11" s="36" t="s">
        <v>15</v>
      </c>
      <c r="I11" s="5" t="s">
        <v>106</v>
      </c>
      <c r="J11" s="5" t="s">
        <v>660</v>
      </c>
      <c r="K11" s="36" t="s">
        <v>15</v>
      </c>
      <c r="L11" s="5" t="s">
        <v>106</v>
      </c>
      <c r="M11" s="5" t="s">
        <v>660</v>
      </c>
      <c r="N11" s="36" t="s">
        <v>15</v>
      </c>
      <c r="O11" s="5" t="s">
        <v>223</v>
      </c>
      <c r="P11" s="5" t="s">
        <v>661</v>
      </c>
      <c r="Q11" s="5" t="s">
        <v>107</v>
      </c>
    </row>
    <row r="12" spans="1:21" s="14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</row>
    <row r="13" spans="1:21" s="63" customFormat="1" x14ac:dyDescent="0.2">
      <c r="A13" s="17">
        <v>1</v>
      </c>
      <c r="B13" s="184" t="s">
        <v>875</v>
      </c>
      <c r="C13" s="415">
        <f>'T5A_PLAN_vs_PRFM '!D12*254*3.91/100000+'T5B_PLAN_vs_PRFM  (2)'!D12*312*3.91/100000</f>
        <v>595.18418819999999</v>
      </c>
      <c r="D13" s="415">
        <f>'T5A_PLAN_vs_PRFM '!D12*254*2.6/100000+'T5B_PLAN_vs_PRFM  (2)'!D12*312*2.6/100000</f>
        <v>395.774652</v>
      </c>
      <c r="E13" s="415">
        <f>SUM(C13:D13)</f>
        <v>990.95884019999994</v>
      </c>
      <c r="F13" s="415">
        <v>70.249217140000042</v>
      </c>
      <c r="G13" s="415">
        <v>517.34280227304362</v>
      </c>
      <c r="H13" s="415">
        <f>SUM(F13:G13)</f>
        <v>587.59201941304366</v>
      </c>
      <c r="I13" s="415">
        <v>590.01116999999999</v>
      </c>
      <c r="J13" s="415">
        <v>95.440592108333348</v>
      </c>
      <c r="K13" s="415">
        <f>SUM(I13:J13)</f>
        <v>685.45176210833336</v>
      </c>
      <c r="L13" s="415">
        <v>513.35470644480006</v>
      </c>
      <c r="M13" s="415">
        <v>342.23647096320002</v>
      </c>
      <c r="N13" s="415">
        <f>SUM(L13:M13)</f>
        <v>855.59117740800002</v>
      </c>
      <c r="O13" s="415">
        <f>F13+I13-L13</f>
        <v>146.90568069519998</v>
      </c>
      <c r="P13" s="415">
        <f>G13+J13-M13</f>
        <v>270.54692341817696</v>
      </c>
      <c r="Q13" s="415">
        <f>H13+K13-N13</f>
        <v>417.45260411337699</v>
      </c>
    </row>
    <row r="14" spans="1:21" s="63" customFormat="1" x14ac:dyDescent="0.2">
      <c r="A14" s="17">
        <v>2</v>
      </c>
      <c r="B14" s="184" t="s">
        <v>876</v>
      </c>
      <c r="C14" s="415">
        <f>'T5A_PLAN_vs_PRFM '!D13*254*3.91/100000+'T5B_PLAN_vs_PRFM  (2)'!D13*312*3.91/100000</f>
        <v>181.20832440000001</v>
      </c>
      <c r="D14" s="415">
        <f>'T5A_PLAN_vs_PRFM '!D13*254*2.6/100000+'T5B_PLAN_vs_PRFM  (2)'!D13*312*2.6/100000</f>
        <v>120.496584</v>
      </c>
      <c r="E14" s="415">
        <f t="shared" ref="E14:E36" si="0">SUM(C14:D14)</f>
        <v>301.70490840000002</v>
      </c>
      <c r="F14" s="415">
        <v>33.955754500000012</v>
      </c>
      <c r="G14" s="415">
        <v>115.65332410326087</v>
      </c>
      <c r="H14" s="415">
        <f t="shared" ref="H14:H36" si="1">SUM(F14:G14)</f>
        <v>149.60907860326088</v>
      </c>
      <c r="I14" s="415">
        <v>143.51351</v>
      </c>
      <c r="J14" s="415">
        <v>25.987235300000002</v>
      </c>
      <c r="K14" s="415">
        <f t="shared" ref="K14:K36" si="2">SUM(I14:J14)</f>
        <v>169.50074530000001</v>
      </c>
      <c r="L14" s="415">
        <v>141.61431893039997</v>
      </c>
      <c r="M14" s="415">
        <v>94.409545953600002</v>
      </c>
      <c r="N14" s="415">
        <f t="shared" ref="N14:N36" si="3">SUM(L14:M14)</f>
        <v>236.02386488399998</v>
      </c>
      <c r="O14" s="415">
        <f t="shared" ref="O14:Q36" si="4">F14+I14-L14</f>
        <v>35.854945569600034</v>
      </c>
      <c r="P14" s="415">
        <f t="shared" si="4"/>
        <v>47.231013449660878</v>
      </c>
      <c r="Q14" s="415">
        <f t="shared" si="4"/>
        <v>83.08595901926094</v>
      </c>
    </row>
    <row r="15" spans="1:21" s="63" customFormat="1" x14ac:dyDescent="0.2">
      <c r="A15" s="17">
        <v>3</v>
      </c>
      <c r="B15" s="184" t="s">
        <v>877</v>
      </c>
      <c r="C15" s="415">
        <f>'T5A_PLAN_vs_PRFM '!D14*254*3.91/100000+'T5B_PLAN_vs_PRFM  (2)'!D14*312*3.91/100000</f>
        <v>148.71278360000002</v>
      </c>
      <c r="D15" s="415">
        <f>'T5A_PLAN_vs_PRFM '!D14*254*2.6/100000+'T5B_PLAN_vs_PRFM  (2)'!D14*312*2.6/100000</f>
        <v>98.888295999999997</v>
      </c>
      <c r="E15" s="415">
        <f t="shared" si="0"/>
        <v>247.60107960000002</v>
      </c>
      <c r="F15" s="415">
        <v>34.21223192000005</v>
      </c>
      <c r="G15" s="415">
        <v>144.48861283783785</v>
      </c>
      <c r="H15" s="415">
        <f t="shared" si="1"/>
        <v>178.7008447578379</v>
      </c>
      <c r="I15" s="415">
        <v>119.95538000000001</v>
      </c>
      <c r="J15" s="415">
        <v>21.977483350000004</v>
      </c>
      <c r="K15" s="415">
        <f t="shared" si="2"/>
        <v>141.93286335000002</v>
      </c>
      <c r="L15" s="415">
        <v>129.6647703072</v>
      </c>
      <c r="M15" s="415">
        <v>86.443180204800001</v>
      </c>
      <c r="N15" s="415">
        <f t="shared" si="3"/>
        <v>216.107950512</v>
      </c>
      <c r="O15" s="415">
        <f t="shared" si="4"/>
        <v>24.502841612800069</v>
      </c>
      <c r="P15" s="415">
        <f t="shared" si="4"/>
        <v>80.022915983037848</v>
      </c>
      <c r="Q15" s="415">
        <f t="shared" si="4"/>
        <v>104.52575759583794</v>
      </c>
    </row>
    <row r="16" spans="1:21" s="63" customFormat="1" x14ac:dyDescent="0.2">
      <c r="A16" s="17">
        <v>4</v>
      </c>
      <c r="B16" s="184" t="s">
        <v>878</v>
      </c>
      <c r="C16" s="415">
        <f>'T5A_PLAN_vs_PRFM '!D15*254*3.91/100000+'T5B_PLAN_vs_PRFM  (2)'!D15*312*3.91/100000</f>
        <v>387.27494300000006</v>
      </c>
      <c r="D16" s="415">
        <f>'T5A_PLAN_vs_PRFM '!D15*254*2.6/100000+'T5B_PLAN_vs_PRFM  (2)'!D15*312*2.6/100000</f>
        <v>257.52298000000002</v>
      </c>
      <c r="E16" s="415">
        <f t="shared" si="0"/>
        <v>644.79792300000008</v>
      </c>
      <c r="F16" s="415">
        <v>43.563753480000059</v>
      </c>
      <c r="G16" s="415">
        <v>221.20378390374336</v>
      </c>
      <c r="H16" s="415">
        <f t="shared" si="1"/>
        <v>264.76753738374339</v>
      </c>
      <c r="I16" s="415">
        <v>342.71994999999998</v>
      </c>
      <c r="J16" s="415">
        <v>54.101330074999993</v>
      </c>
      <c r="K16" s="415">
        <f t="shared" si="2"/>
        <v>396.821280075</v>
      </c>
      <c r="L16" s="415">
        <v>332.37786812399997</v>
      </c>
      <c r="M16" s="415">
        <v>221.58524541600002</v>
      </c>
      <c r="N16" s="415">
        <f t="shared" si="3"/>
        <v>553.96311353999999</v>
      </c>
      <c r="O16" s="415">
        <f t="shared" si="4"/>
        <v>53.905835356000068</v>
      </c>
      <c r="P16" s="415">
        <f t="shared" si="4"/>
        <v>53.719868562743329</v>
      </c>
      <c r="Q16" s="415">
        <f t="shared" si="4"/>
        <v>107.6257039187434</v>
      </c>
    </row>
    <row r="17" spans="1:17" s="63" customFormat="1" x14ac:dyDescent="0.2">
      <c r="A17" s="17">
        <v>5</v>
      </c>
      <c r="B17" s="184" t="s">
        <v>879</v>
      </c>
      <c r="C17" s="415">
        <f>'T5A_PLAN_vs_PRFM '!D16*254*3.91/100000+'T5B_PLAN_vs_PRFM  (2)'!D16*312*3.91/100000</f>
        <v>210.67478819999999</v>
      </c>
      <c r="D17" s="415">
        <f>'T5A_PLAN_vs_PRFM '!D16*254*2.6/100000+'T5B_PLAN_vs_PRFM  (2)'!D16*312*2.6/100000</f>
        <v>140.09065200000001</v>
      </c>
      <c r="E17" s="415">
        <f t="shared" si="0"/>
        <v>350.7654402</v>
      </c>
      <c r="F17" s="415">
        <v>28.964998919999999</v>
      </c>
      <c r="G17" s="415">
        <v>31.099323011049734</v>
      </c>
      <c r="H17" s="415">
        <f t="shared" si="1"/>
        <v>60.064321931049733</v>
      </c>
      <c r="I17" s="415">
        <v>186.56410999999997</v>
      </c>
      <c r="J17" s="415">
        <v>30.713890987735848</v>
      </c>
      <c r="K17" s="415">
        <f t="shared" si="2"/>
        <v>217.27800098773582</v>
      </c>
      <c r="L17" s="415">
        <v>186.5797499736</v>
      </c>
      <c r="M17" s="415">
        <v>124.38649998240001</v>
      </c>
      <c r="N17" s="415">
        <f t="shared" si="3"/>
        <v>310.96624995600001</v>
      </c>
      <c r="O17" s="415">
        <f t="shared" si="4"/>
        <v>28.949358946399968</v>
      </c>
      <c r="P17" s="415">
        <f t="shared" si="4"/>
        <v>-62.573285983614426</v>
      </c>
      <c r="Q17" s="415">
        <f t="shared" si="4"/>
        <v>-33.623927037214457</v>
      </c>
    </row>
    <row r="18" spans="1:17" s="63" customFormat="1" x14ac:dyDescent="0.2">
      <c r="A18" s="17">
        <v>6</v>
      </c>
      <c r="B18" s="184" t="s">
        <v>880</v>
      </c>
      <c r="C18" s="415">
        <f>'T5A_PLAN_vs_PRFM '!D17*254*3.91/100000+'T5B_PLAN_vs_PRFM  (2)'!D17*312*3.91/100000</f>
        <v>421.49854740000001</v>
      </c>
      <c r="D18" s="415">
        <f>'T5A_PLAN_vs_PRFM '!D17*254*2.6/100000+'T5B_PLAN_vs_PRFM  (2)'!D17*312*2.6/100000</f>
        <v>280.28036400000002</v>
      </c>
      <c r="E18" s="415">
        <f t="shared" si="0"/>
        <v>701.77891139999997</v>
      </c>
      <c r="F18" s="415">
        <v>-104.3703396599999</v>
      </c>
      <c r="G18" s="415">
        <v>385.2754936405405</v>
      </c>
      <c r="H18" s="415">
        <f t="shared" si="1"/>
        <v>280.9051539805406</v>
      </c>
      <c r="I18" s="415">
        <v>594.79170999999997</v>
      </c>
      <c r="J18" s="415">
        <v>67.06125145</v>
      </c>
      <c r="K18" s="415">
        <f t="shared" si="2"/>
        <v>661.85296144999995</v>
      </c>
      <c r="L18" s="415">
        <v>404.46181220400001</v>
      </c>
      <c r="M18" s="415">
        <v>269.64120813599999</v>
      </c>
      <c r="N18" s="415">
        <f t="shared" si="3"/>
        <v>674.10302034000006</v>
      </c>
      <c r="O18" s="415">
        <f t="shared" si="4"/>
        <v>85.959558136000055</v>
      </c>
      <c r="P18" s="415">
        <f t="shared" si="4"/>
        <v>182.6955369545405</v>
      </c>
      <c r="Q18" s="415">
        <f t="shared" si="4"/>
        <v>268.6550950905405</v>
      </c>
    </row>
    <row r="19" spans="1:17" s="63" customFormat="1" x14ac:dyDescent="0.2">
      <c r="A19" s="17">
        <v>7</v>
      </c>
      <c r="B19" s="184" t="s">
        <v>881</v>
      </c>
      <c r="C19" s="415">
        <f>'T5A_PLAN_vs_PRFM '!D18*254*3.91/100000+'T5B_PLAN_vs_PRFM  (2)'!D18*312*3.91/100000</f>
        <v>398.01078640000003</v>
      </c>
      <c r="D19" s="415">
        <f>'T5A_PLAN_vs_PRFM '!D18*254*2.6/100000+'T5B_PLAN_vs_PRFM  (2)'!D18*312*2.6/100000</f>
        <v>264.66190400000005</v>
      </c>
      <c r="E19" s="415">
        <f t="shared" si="0"/>
        <v>662.67269040000008</v>
      </c>
      <c r="F19" s="415">
        <v>5.2986430800001472</v>
      </c>
      <c r="G19" s="415">
        <v>122.0488120212766</v>
      </c>
      <c r="H19" s="415">
        <f t="shared" si="1"/>
        <v>127.34745510127675</v>
      </c>
      <c r="I19" s="415">
        <v>351.34692000000001</v>
      </c>
      <c r="J19" s="415">
        <v>54.571850278301888</v>
      </c>
      <c r="K19" s="415">
        <f t="shared" si="2"/>
        <v>405.91877027830191</v>
      </c>
      <c r="L19" s="415">
        <v>257.97530281319996</v>
      </c>
      <c r="M19" s="415">
        <v>171.98353520879999</v>
      </c>
      <c r="N19" s="415">
        <f t="shared" si="3"/>
        <v>429.95883802199995</v>
      </c>
      <c r="O19" s="415">
        <f t="shared" si="4"/>
        <v>98.670260266800199</v>
      </c>
      <c r="P19" s="415">
        <f t="shared" si="4"/>
        <v>4.637127090778506</v>
      </c>
      <c r="Q19" s="415">
        <f t="shared" si="4"/>
        <v>103.30738735757865</v>
      </c>
    </row>
    <row r="20" spans="1:17" s="63" customFormat="1" x14ac:dyDescent="0.2">
      <c r="A20" s="17">
        <v>8</v>
      </c>
      <c r="B20" s="184" t="s">
        <v>882</v>
      </c>
      <c r="C20" s="415">
        <f>'T5A_PLAN_vs_PRFM '!D19*254*3.91/100000+'T5B_PLAN_vs_PRFM  (2)'!D19*312*3.91/100000</f>
        <v>509.01685939999999</v>
      </c>
      <c r="D20" s="415">
        <f>'T5A_PLAN_vs_PRFM '!D19*254*2.6/100000+'T5B_PLAN_vs_PRFM  (2)'!D19*312*2.6/100000</f>
        <v>338.47668400000003</v>
      </c>
      <c r="E20" s="415">
        <f t="shared" si="0"/>
        <v>847.49354340000002</v>
      </c>
      <c r="F20" s="415">
        <v>71.707279880000044</v>
      </c>
      <c r="G20" s="415">
        <v>358.74917979057591</v>
      </c>
      <c r="H20" s="415">
        <f t="shared" si="1"/>
        <v>430.45645967057595</v>
      </c>
      <c r="I20" s="415">
        <v>529.31486000000007</v>
      </c>
      <c r="J20" s="415">
        <v>81.336817023913042</v>
      </c>
      <c r="K20" s="415">
        <f t="shared" si="2"/>
        <v>610.65167702391307</v>
      </c>
      <c r="L20" s="415">
        <v>450.77845113359996</v>
      </c>
      <c r="M20" s="415">
        <v>300.51896742240001</v>
      </c>
      <c r="N20" s="415">
        <f t="shared" si="3"/>
        <v>751.29741855599991</v>
      </c>
      <c r="O20" s="415">
        <f t="shared" si="4"/>
        <v>150.24368874640021</v>
      </c>
      <c r="P20" s="415">
        <f t="shared" si="4"/>
        <v>139.56702939208895</v>
      </c>
      <c r="Q20" s="415">
        <f t="shared" si="4"/>
        <v>289.81071813848916</v>
      </c>
    </row>
    <row r="21" spans="1:17" s="63" customFormat="1" x14ac:dyDescent="0.2">
      <c r="A21" s="17">
        <v>9</v>
      </c>
      <c r="B21" s="184" t="s">
        <v>883</v>
      </c>
      <c r="C21" s="415">
        <f>'T5A_PLAN_vs_PRFM '!D20*254*3.91/100000+'T5B_PLAN_vs_PRFM  (2)'!D20*312*3.91/100000</f>
        <v>836.50195919999999</v>
      </c>
      <c r="D21" s="415">
        <f>'T5A_PLAN_vs_PRFM '!D20*254*2.6/100000+'T5B_PLAN_vs_PRFM  (2)'!D20*312*2.6/100000</f>
        <v>556.24171200000001</v>
      </c>
      <c r="E21" s="415">
        <f t="shared" si="0"/>
        <v>1392.7436711999999</v>
      </c>
      <c r="F21" s="415">
        <v>-16.635996360000263</v>
      </c>
      <c r="G21" s="415">
        <v>407.29428671351366</v>
      </c>
      <c r="H21" s="415">
        <f t="shared" si="1"/>
        <v>390.65829035351339</v>
      </c>
      <c r="I21" s="415">
        <v>850.33681999999999</v>
      </c>
      <c r="J21" s="415">
        <v>113.1314373901961</v>
      </c>
      <c r="K21" s="415">
        <f t="shared" si="2"/>
        <v>963.46825739019607</v>
      </c>
      <c r="L21" s="415">
        <v>687.72632885640007</v>
      </c>
      <c r="M21" s="415">
        <v>458.48421923759997</v>
      </c>
      <c r="N21" s="415">
        <f t="shared" si="3"/>
        <v>1146.2105480939999</v>
      </c>
      <c r="O21" s="415">
        <f t="shared" si="4"/>
        <v>145.97449478359965</v>
      </c>
      <c r="P21" s="415">
        <f t="shared" si="4"/>
        <v>61.941504866109767</v>
      </c>
      <c r="Q21" s="415">
        <f t="shared" si="4"/>
        <v>207.91599964970965</v>
      </c>
    </row>
    <row r="22" spans="1:17" s="63" customFormat="1" x14ac:dyDescent="0.2">
      <c r="A22" s="17">
        <v>10</v>
      </c>
      <c r="B22" s="184" t="s">
        <v>884</v>
      </c>
      <c r="C22" s="415">
        <f>'T5A_PLAN_vs_PRFM '!D21*254*3.91/100000+'T5B_PLAN_vs_PRFM  (2)'!D21*312*3.91/100000</f>
        <v>241.20391179999999</v>
      </c>
      <c r="D22" s="415">
        <f>'T5A_PLAN_vs_PRFM '!D21*254*2.6/100000+'T5B_PLAN_vs_PRFM  (2)'!D21*312*2.6/100000</f>
        <v>160.39134799999999</v>
      </c>
      <c r="E22" s="415">
        <f t="shared" si="0"/>
        <v>401.59525980000001</v>
      </c>
      <c r="F22" s="415">
        <v>12.562061399999948</v>
      </c>
      <c r="G22" s="415">
        <v>150.79781222222226</v>
      </c>
      <c r="H22" s="415">
        <f t="shared" si="1"/>
        <v>163.35987362222221</v>
      </c>
      <c r="I22" s="415">
        <v>255.79785999999999</v>
      </c>
      <c r="J22" s="415">
        <v>36.798557780612249</v>
      </c>
      <c r="K22" s="415">
        <f t="shared" si="2"/>
        <v>292.59641778061223</v>
      </c>
      <c r="L22" s="415">
        <v>218.61533833919995</v>
      </c>
      <c r="M22" s="415">
        <v>145.7435588928</v>
      </c>
      <c r="N22" s="415">
        <f t="shared" si="3"/>
        <v>364.35889723199995</v>
      </c>
      <c r="O22" s="415">
        <f t="shared" si="4"/>
        <v>49.744583060800011</v>
      </c>
      <c r="P22" s="415">
        <f t="shared" si="4"/>
        <v>41.852811110034509</v>
      </c>
      <c r="Q22" s="415">
        <f t="shared" si="4"/>
        <v>91.597394170834491</v>
      </c>
    </row>
    <row r="23" spans="1:17" s="63" customFormat="1" x14ac:dyDescent="0.2">
      <c r="A23" s="17">
        <v>11</v>
      </c>
      <c r="B23" s="184" t="s">
        <v>885</v>
      </c>
      <c r="C23" s="415">
        <f>'T5A_PLAN_vs_PRFM '!D22*254*3.91/100000+'T5B_PLAN_vs_PRFM  (2)'!D22*312*3.91/100000</f>
        <v>484.91421180000009</v>
      </c>
      <c r="D23" s="415">
        <f>'T5A_PLAN_vs_PRFM '!D22*254*2.6/100000+'T5B_PLAN_vs_PRFM  (2)'!D22*312*2.6/100000</f>
        <v>322.44934799999999</v>
      </c>
      <c r="E23" s="415">
        <f t="shared" si="0"/>
        <v>807.36355980000008</v>
      </c>
      <c r="F23" s="415">
        <v>69.636219639999979</v>
      </c>
      <c r="G23" s="415">
        <v>475.77740443548396</v>
      </c>
      <c r="H23" s="415">
        <f t="shared" si="1"/>
        <v>545.41362407548399</v>
      </c>
      <c r="I23" s="415">
        <v>346.90244000000001</v>
      </c>
      <c r="J23" s="415">
        <v>54.408110016981134</v>
      </c>
      <c r="K23" s="415">
        <f t="shared" si="2"/>
        <v>401.31055001698115</v>
      </c>
      <c r="L23" s="415">
        <v>372.96894139199998</v>
      </c>
      <c r="M23" s="415">
        <v>248.64596092800002</v>
      </c>
      <c r="N23" s="415">
        <f t="shared" si="3"/>
        <v>621.61490232000006</v>
      </c>
      <c r="O23" s="415">
        <f t="shared" si="4"/>
        <v>43.569718248000015</v>
      </c>
      <c r="P23" s="415">
        <f t="shared" si="4"/>
        <v>281.53955352446508</v>
      </c>
      <c r="Q23" s="415">
        <f t="shared" si="4"/>
        <v>325.10927177246504</v>
      </c>
    </row>
    <row r="24" spans="1:17" s="63" customFormat="1" x14ac:dyDescent="0.2">
      <c r="A24" s="17">
        <v>12</v>
      </c>
      <c r="B24" s="241" t="s">
        <v>886</v>
      </c>
      <c r="C24" s="415">
        <f>'T5A_PLAN_vs_PRFM '!D23*254*3.91/100000+'T5B_PLAN_vs_PRFM  (2)'!D23*312*3.91/100000</f>
        <v>491.47597379999996</v>
      </c>
      <c r="D24" s="415">
        <f>'T5A_PLAN_vs_PRFM '!D23*254*2.6/100000+'T5B_PLAN_vs_PRFM  (2)'!D23*312*2.6/100000</f>
        <v>326.81266799999997</v>
      </c>
      <c r="E24" s="415">
        <f t="shared" si="0"/>
        <v>818.28864179999994</v>
      </c>
      <c r="F24" s="415">
        <v>80.159724599999947</v>
      </c>
      <c r="G24" s="415">
        <v>467.85269837837831</v>
      </c>
      <c r="H24" s="415">
        <f t="shared" si="1"/>
        <v>548.01242297837825</v>
      </c>
      <c r="I24" s="415">
        <v>465.93258000000003</v>
      </c>
      <c r="J24" s="415">
        <v>70.971316866666683</v>
      </c>
      <c r="K24" s="415">
        <f t="shared" si="2"/>
        <v>536.90389686666674</v>
      </c>
      <c r="L24" s="415">
        <v>412.2482182992</v>
      </c>
      <c r="M24" s="415">
        <v>274.83214553280004</v>
      </c>
      <c r="N24" s="415">
        <f t="shared" si="3"/>
        <v>687.0803638320001</v>
      </c>
      <c r="O24" s="415">
        <f t="shared" si="4"/>
        <v>133.84408630080003</v>
      </c>
      <c r="P24" s="415">
        <f t="shared" si="4"/>
        <v>263.99186971224492</v>
      </c>
      <c r="Q24" s="415">
        <f t="shared" si="4"/>
        <v>397.83595601304501</v>
      </c>
    </row>
    <row r="25" spans="1:17" s="63" customFormat="1" x14ac:dyDescent="0.2">
      <c r="A25" s="17">
        <v>13</v>
      </c>
      <c r="B25" s="184" t="s">
        <v>887</v>
      </c>
      <c r="C25" s="415">
        <f>'T5A_PLAN_vs_PRFM '!D24*254*3.91/100000+'T5B_PLAN_vs_PRFM  (2)'!D24*312*3.91/100000</f>
        <v>228.66055359999999</v>
      </c>
      <c r="D25" s="415">
        <f>'T5A_PLAN_vs_PRFM '!D24*254*2.6/100000+'T5B_PLAN_vs_PRFM  (2)'!D24*312*2.6/100000</f>
        <v>152.05049600000001</v>
      </c>
      <c r="E25" s="415">
        <f t="shared" si="0"/>
        <v>380.71104960000002</v>
      </c>
      <c r="F25" s="415">
        <v>34.553552359999856</v>
      </c>
      <c r="G25" s="415">
        <v>316.9815566935485</v>
      </c>
      <c r="H25" s="415">
        <f t="shared" si="1"/>
        <v>351.53510905354835</v>
      </c>
      <c r="I25" s="415">
        <v>195.99612999999999</v>
      </c>
      <c r="J25" s="415">
        <v>32.932744650000004</v>
      </c>
      <c r="K25" s="415">
        <f t="shared" si="2"/>
        <v>228.92887465000001</v>
      </c>
      <c r="L25" s="415">
        <v>197.19543966479998</v>
      </c>
      <c r="M25" s="415">
        <v>131.46362644319998</v>
      </c>
      <c r="N25" s="415">
        <f t="shared" si="3"/>
        <v>328.65906610799993</v>
      </c>
      <c r="O25" s="415">
        <f t="shared" si="4"/>
        <v>33.354242695199872</v>
      </c>
      <c r="P25" s="415">
        <f t="shared" si="4"/>
        <v>218.45067490034853</v>
      </c>
      <c r="Q25" s="415">
        <f t="shared" si="4"/>
        <v>251.80491759554843</v>
      </c>
    </row>
    <row r="26" spans="1:17" s="63" customFormat="1" x14ac:dyDescent="0.2">
      <c r="A26" s="17">
        <v>14</v>
      </c>
      <c r="B26" s="184" t="s">
        <v>888</v>
      </c>
      <c r="C26" s="415">
        <f>'T5A_PLAN_vs_PRFM '!D25*254*3.91/100000+'T5B_PLAN_vs_PRFM  (2)'!D25*312*3.91/100000</f>
        <v>309.60146359999999</v>
      </c>
      <c r="D26" s="415">
        <f>'T5A_PLAN_vs_PRFM '!D25*254*2.6/100000+'T5B_PLAN_vs_PRFM  (2)'!D25*312*2.6/100000</f>
        <v>205.873096</v>
      </c>
      <c r="E26" s="415">
        <f t="shared" si="0"/>
        <v>515.47455960000002</v>
      </c>
      <c r="F26" s="415">
        <v>37.94955275999996</v>
      </c>
      <c r="G26" s="415">
        <v>186.79699233870971</v>
      </c>
      <c r="H26" s="415">
        <f t="shared" si="1"/>
        <v>224.74654509870967</v>
      </c>
      <c r="I26" s="415">
        <v>197.59343999999999</v>
      </c>
      <c r="J26" s="415">
        <v>33.741709729245287</v>
      </c>
      <c r="K26" s="415">
        <f t="shared" si="2"/>
        <v>231.33514972924527</v>
      </c>
      <c r="L26" s="415">
        <v>197.17221829319999</v>
      </c>
      <c r="M26" s="415">
        <v>131.44814552880001</v>
      </c>
      <c r="N26" s="415">
        <f t="shared" si="3"/>
        <v>328.620363822</v>
      </c>
      <c r="O26" s="415">
        <f t="shared" si="4"/>
        <v>38.370774466799958</v>
      </c>
      <c r="P26" s="415">
        <f t="shared" si="4"/>
        <v>89.090556539154989</v>
      </c>
      <c r="Q26" s="415">
        <f t="shared" si="4"/>
        <v>127.46133100595495</v>
      </c>
    </row>
    <row r="27" spans="1:17" x14ac:dyDescent="0.2">
      <c r="A27" s="17">
        <v>15</v>
      </c>
      <c r="B27" s="184" t="s">
        <v>889</v>
      </c>
      <c r="C27" s="415">
        <f>'T5A_PLAN_vs_PRFM '!D26*254*3.91/100000+'T5B_PLAN_vs_PRFM  (2)'!D26*312*3.91/100000</f>
        <v>467.13333039999998</v>
      </c>
      <c r="D27" s="415">
        <f>'T5A_PLAN_vs_PRFM '!D26*254*2.6/100000+'T5B_PLAN_vs_PRFM  (2)'!D26*312*2.6/100000</f>
        <v>310.625744</v>
      </c>
      <c r="E27" s="415">
        <f t="shared" si="0"/>
        <v>777.75907439999992</v>
      </c>
      <c r="F27" s="416">
        <v>50.901311440000029</v>
      </c>
      <c r="G27" s="416">
        <v>250.14872666666662</v>
      </c>
      <c r="H27" s="415">
        <f t="shared" si="1"/>
        <v>301.05003810666665</v>
      </c>
      <c r="I27" s="416">
        <v>455.17309</v>
      </c>
      <c r="J27" s="416">
        <v>65.296892078260882</v>
      </c>
      <c r="K27" s="415">
        <f t="shared" si="2"/>
        <v>520.46998207826084</v>
      </c>
      <c r="L27" s="416">
        <v>439.95571874999996</v>
      </c>
      <c r="M27" s="416">
        <v>293.30381249999999</v>
      </c>
      <c r="N27" s="415">
        <f t="shared" si="3"/>
        <v>733.25953125000001</v>
      </c>
      <c r="O27" s="415">
        <f t="shared" si="4"/>
        <v>66.118682690000071</v>
      </c>
      <c r="P27" s="415">
        <f t="shared" si="4"/>
        <v>22.141806244927523</v>
      </c>
      <c r="Q27" s="415">
        <f t="shared" si="4"/>
        <v>88.26048893492748</v>
      </c>
    </row>
    <row r="28" spans="1:17" x14ac:dyDescent="0.2">
      <c r="A28" s="17">
        <v>16</v>
      </c>
      <c r="B28" s="184" t="s">
        <v>890</v>
      </c>
      <c r="C28" s="415">
        <f>'T5A_PLAN_vs_PRFM '!D27*254*3.91/100000+'T5B_PLAN_vs_PRFM  (2)'!D27*312*3.91/100000</f>
        <v>660.34871740000006</v>
      </c>
      <c r="D28" s="415">
        <f>'T5A_PLAN_vs_PRFM '!D27*254*2.6/100000+'T5B_PLAN_vs_PRFM  (2)'!D27*312*2.6/100000</f>
        <v>439.10656399999999</v>
      </c>
      <c r="E28" s="415">
        <f t="shared" si="0"/>
        <v>1099.4552814000001</v>
      </c>
      <c r="F28" s="416">
        <v>71.565954880000049</v>
      </c>
      <c r="G28" s="416">
        <v>445.98801796791446</v>
      </c>
      <c r="H28" s="415">
        <f t="shared" si="1"/>
        <v>517.55397284791457</v>
      </c>
      <c r="I28" s="416">
        <v>541.12237000000005</v>
      </c>
      <c r="J28" s="416">
        <v>97.724337762745094</v>
      </c>
      <c r="K28" s="415">
        <f t="shared" si="2"/>
        <v>638.84670776274515</v>
      </c>
      <c r="L28" s="416">
        <v>503.03427307920003</v>
      </c>
      <c r="M28" s="416">
        <v>335.35618205280002</v>
      </c>
      <c r="N28" s="415">
        <f t="shared" si="3"/>
        <v>838.39045513200006</v>
      </c>
      <c r="O28" s="415">
        <f t="shared" si="4"/>
        <v>109.65405180080006</v>
      </c>
      <c r="P28" s="415">
        <f t="shared" si="4"/>
        <v>208.35617367785949</v>
      </c>
      <c r="Q28" s="415">
        <f t="shared" si="4"/>
        <v>318.01022547865966</v>
      </c>
    </row>
    <row r="29" spans="1:17" x14ac:dyDescent="0.2">
      <c r="A29" s="17">
        <v>17</v>
      </c>
      <c r="B29" s="184" t="s">
        <v>891</v>
      </c>
      <c r="C29" s="415">
        <f>'T5A_PLAN_vs_PRFM '!D28*254*3.91/100000+'T5B_PLAN_vs_PRFM  (2)'!D28*312*3.91/100000</f>
        <v>501.94288740000002</v>
      </c>
      <c r="D29" s="415">
        <f>'T5A_PLAN_vs_PRFM '!D28*254*2.6/100000+'T5B_PLAN_vs_PRFM  (2)'!D28*312*2.6/100000</f>
        <v>333.772764</v>
      </c>
      <c r="E29" s="415">
        <f t="shared" si="0"/>
        <v>835.71565140000007</v>
      </c>
      <c r="F29" s="416">
        <v>80.653831960000048</v>
      </c>
      <c r="G29" s="416">
        <v>264.27413045212779</v>
      </c>
      <c r="H29" s="415">
        <f t="shared" si="1"/>
        <v>344.92796241212784</v>
      </c>
      <c r="I29" s="416">
        <v>455.61414999999994</v>
      </c>
      <c r="J29" s="416">
        <v>80.827914131250012</v>
      </c>
      <c r="K29" s="415">
        <f t="shared" si="2"/>
        <v>536.44206413124994</v>
      </c>
      <c r="L29" s="416">
        <v>459.701664876</v>
      </c>
      <c r="M29" s="416">
        <v>306.46777658400003</v>
      </c>
      <c r="N29" s="415">
        <f t="shared" si="3"/>
        <v>766.16944146000003</v>
      </c>
      <c r="O29" s="415">
        <f t="shared" si="4"/>
        <v>76.566317084000048</v>
      </c>
      <c r="P29" s="415">
        <f t="shared" si="4"/>
        <v>38.634267999377755</v>
      </c>
      <c r="Q29" s="415">
        <f t="shared" si="4"/>
        <v>115.20058508337775</v>
      </c>
    </row>
    <row r="30" spans="1:17" x14ac:dyDescent="0.2">
      <c r="A30" s="17">
        <v>18</v>
      </c>
      <c r="B30" s="184" t="s">
        <v>892</v>
      </c>
      <c r="C30" s="415">
        <f>'T5A_PLAN_vs_PRFM '!D29*254*3.91/100000+'T5B_PLAN_vs_PRFM  (2)'!D29*312*3.91/100000</f>
        <v>467.63983180000002</v>
      </c>
      <c r="D30" s="415">
        <f>'T5A_PLAN_vs_PRFM '!D29*254*2.6/100000+'T5B_PLAN_vs_PRFM  (2)'!D29*312*2.6/100000</f>
        <v>310.96254800000003</v>
      </c>
      <c r="E30" s="415">
        <f t="shared" si="0"/>
        <v>778.60237980000011</v>
      </c>
      <c r="F30" s="416">
        <v>43.730216760000076</v>
      </c>
      <c r="G30" s="416">
        <v>527.47835312834241</v>
      </c>
      <c r="H30" s="415">
        <f t="shared" si="1"/>
        <v>571.20856988834248</v>
      </c>
      <c r="I30" s="416">
        <v>426.12290999999999</v>
      </c>
      <c r="J30" s="416">
        <v>67.359633981249999</v>
      </c>
      <c r="K30" s="415">
        <f t="shared" si="2"/>
        <v>493.48254398124999</v>
      </c>
      <c r="L30" s="416">
        <v>385.42575395159997</v>
      </c>
      <c r="M30" s="416">
        <v>256.95050263439998</v>
      </c>
      <c r="N30" s="415">
        <f t="shared" si="3"/>
        <v>642.37625658599995</v>
      </c>
      <c r="O30" s="415">
        <f t="shared" si="4"/>
        <v>84.427372808400094</v>
      </c>
      <c r="P30" s="415">
        <f t="shared" si="4"/>
        <v>337.88748447519242</v>
      </c>
      <c r="Q30" s="415">
        <f t="shared" si="4"/>
        <v>422.31485728359257</v>
      </c>
    </row>
    <row r="31" spans="1:17" x14ac:dyDescent="0.2">
      <c r="A31" s="17">
        <v>19</v>
      </c>
      <c r="B31" s="184" t="s">
        <v>893</v>
      </c>
      <c r="C31" s="415">
        <f>'T5A_PLAN_vs_PRFM '!D30*254*3.91/100000+'T5B_PLAN_vs_PRFM  (2)'!D30*312*3.91/100000</f>
        <v>353.40480259999998</v>
      </c>
      <c r="D31" s="415">
        <f>'T5A_PLAN_vs_PRFM '!D30*254*2.6/100000+'T5B_PLAN_vs_PRFM  (2)'!D30*312*2.6/100000</f>
        <v>235.00063600000001</v>
      </c>
      <c r="E31" s="415">
        <f t="shared" si="0"/>
        <v>588.40543860000002</v>
      </c>
      <c r="F31" s="416">
        <v>18.233968079999954</v>
      </c>
      <c r="G31" s="416">
        <v>191.99507436170222</v>
      </c>
      <c r="H31" s="415">
        <f t="shared" si="1"/>
        <v>210.22904244170218</v>
      </c>
      <c r="I31" s="416">
        <v>357.53818999999999</v>
      </c>
      <c r="J31" s="416">
        <v>52.391448382534257</v>
      </c>
      <c r="K31" s="415">
        <f t="shared" si="2"/>
        <v>409.92963838253422</v>
      </c>
      <c r="L31" s="416">
        <v>292.96350670319998</v>
      </c>
      <c r="M31" s="416">
        <v>195.3090044688</v>
      </c>
      <c r="N31" s="415">
        <f t="shared" si="3"/>
        <v>488.27251117200001</v>
      </c>
      <c r="O31" s="415">
        <f t="shared" si="4"/>
        <v>82.808651376799958</v>
      </c>
      <c r="P31" s="415">
        <f t="shared" si="4"/>
        <v>49.077518275436489</v>
      </c>
      <c r="Q31" s="415">
        <f t="shared" si="4"/>
        <v>131.88616965223639</v>
      </c>
    </row>
    <row r="32" spans="1:17" x14ac:dyDescent="0.2">
      <c r="A32" s="17">
        <v>20</v>
      </c>
      <c r="B32" s="184" t="s">
        <v>894</v>
      </c>
      <c r="C32" s="415">
        <f>'T5A_PLAN_vs_PRFM '!D31*254*3.91/100000+'T5B_PLAN_vs_PRFM  (2)'!D31*312*3.91/100000</f>
        <v>238.83030720000002</v>
      </c>
      <c r="D32" s="415">
        <f>'T5A_PLAN_vs_PRFM '!D31*254*2.6/100000+'T5B_PLAN_vs_PRFM  (2)'!D31*312*2.6/100000</f>
        <v>158.81299200000001</v>
      </c>
      <c r="E32" s="415">
        <f t="shared" si="0"/>
        <v>397.6432992</v>
      </c>
      <c r="F32" s="416">
        <v>7.4947224800001209</v>
      </c>
      <c r="G32" s="416">
        <v>102.83691000000007</v>
      </c>
      <c r="H32" s="415">
        <f t="shared" si="1"/>
        <v>110.3316324800002</v>
      </c>
      <c r="I32" s="416">
        <v>241.43180000000001</v>
      </c>
      <c r="J32" s="416">
        <v>35.468900291964289</v>
      </c>
      <c r="K32" s="415">
        <f t="shared" si="2"/>
        <v>276.90070029196431</v>
      </c>
      <c r="L32" s="416">
        <v>200.51837005679999</v>
      </c>
      <c r="M32" s="416">
        <v>133.6789133712</v>
      </c>
      <c r="N32" s="415">
        <f t="shared" si="3"/>
        <v>334.19728342799999</v>
      </c>
      <c r="O32" s="415">
        <f t="shared" si="4"/>
        <v>48.408152423200136</v>
      </c>
      <c r="P32" s="415">
        <f t="shared" si="4"/>
        <v>4.6268969207643522</v>
      </c>
      <c r="Q32" s="415">
        <f t="shared" si="4"/>
        <v>53.035049343964488</v>
      </c>
    </row>
    <row r="33" spans="1:18" x14ac:dyDescent="0.2">
      <c r="A33" s="17">
        <v>21</v>
      </c>
      <c r="B33" s="184" t="s">
        <v>895</v>
      </c>
      <c r="C33" s="415">
        <f>'T5A_PLAN_vs_PRFM '!D32*254*3.91/100000+'T5B_PLAN_vs_PRFM  (2)'!D32*312*3.91/100000</f>
        <v>280.27325740000003</v>
      </c>
      <c r="D33" s="415">
        <f>'T5A_PLAN_vs_PRFM '!D32*254*2.6/100000+'T5B_PLAN_vs_PRFM  (2)'!D32*312*2.6/100000</f>
        <v>186.37096400000001</v>
      </c>
      <c r="E33" s="415">
        <f t="shared" si="0"/>
        <v>466.64422140000005</v>
      </c>
      <c r="F33" s="416">
        <v>49.472684720000188</v>
      </c>
      <c r="G33" s="416">
        <v>228.83242292553183</v>
      </c>
      <c r="H33" s="415">
        <f t="shared" si="1"/>
        <v>278.30510764553202</v>
      </c>
      <c r="I33" s="416">
        <v>272.45807000000002</v>
      </c>
      <c r="J33" s="416">
        <v>45.018269271354171</v>
      </c>
      <c r="K33" s="415">
        <f t="shared" si="2"/>
        <v>317.47633927135416</v>
      </c>
      <c r="L33" s="416">
        <v>259.5397580568</v>
      </c>
      <c r="M33" s="416">
        <v>173.02650537120002</v>
      </c>
      <c r="N33" s="415">
        <f t="shared" si="3"/>
        <v>432.56626342800001</v>
      </c>
      <c r="O33" s="415">
        <f t="shared" si="4"/>
        <v>62.390996663200212</v>
      </c>
      <c r="P33" s="415">
        <f t="shared" si="4"/>
        <v>100.82418682568601</v>
      </c>
      <c r="Q33" s="415">
        <f t="shared" si="4"/>
        <v>163.21518348888611</v>
      </c>
    </row>
    <row r="34" spans="1:18" x14ac:dyDescent="0.2">
      <c r="A34" s="17">
        <v>22</v>
      </c>
      <c r="B34" s="184" t="s">
        <v>896</v>
      </c>
      <c r="C34" s="415">
        <f>'T5A_PLAN_vs_PRFM '!D33*254*3.91/100000+'T5B_PLAN_vs_PRFM  (2)'!D33*312*3.91/100000</f>
        <v>240.7776436</v>
      </c>
      <c r="D34" s="415">
        <f>'T5A_PLAN_vs_PRFM '!D33*254*2.6/100000+'T5B_PLAN_vs_PRFM  (2)'!D33*312*2.6/100000</f>
        <v>160.10789600000001</v>
      </c>
      <c r="E34" s="415">
        <f t="shared" si="0"/>
        <v>400.88553960000002</v>
      </c>
      <c r="F34" s="416">
        <v>96.988891520000038</v>
      </c>
      <c r="G34" s="416">
        <v>103.95402167567565</v>
      </c>
      <c r="H34" s="415">
        <f t="shared" si="1"/>
        <v>200.94291319567569</v>
      </c>
      <c r="I34" s="416">
        <v>133.19486999999998</v>
      </c>
      <c r="J34" s="416">
        <v>36.748300900000004</v>
      </c>
      <c r="K34" s="415">
        <f t="shared" si="2"/>
        <v>169.94317089999998</v>
      </c>
      <c r="L34" s="416">
        <v>141.40363229999997</v>
      </c>
      <c r="M34" s="416">
        <v>94.269088199999999</v>
      </c>
      <c r="N34" s="415">
        <f t="shared" si="3"/>
        <v>235.67272049999997</v>
      </c>
      <c r="O34" s="415">
        <f t="shared" si="4"/>
        <v>88.780129220000049</v>
      </c>
      <c r="P34" s="415">
        <f t="shared" si="4"/>
        <v>46.433234375675653</v>
      </c>
      <c r="Q34" s="415">
        <f t="shared" si="4"/>
        <v>135.21336359567567</v>
      </c>
    </row>
    <row r="35" spans="1:18" x14ac:dyDescent="0.2">
      <c r="A35" s="17">
        <v>23</v>
      </c>
      <c r="B35" s="184" t="s">
        <v>897</v>
      </c>
      <c r="C35" s="415">
        <f>'T5A_PLAN_vs_PRFM '!D34*254*3.91/100000+'T5B_PLAN_vs_PRFM  (2)'!D34*312*3.91/100000</f>
        <v>400.61281320000001</v>
      </c>
      <c r="D35" s="415">
        <f>'T5A_PLAN_vs_PRFM '!D34*254*2.6/100000+'T5B_PLAN_vs_PRFM  (2)'!D34*312*2.6/100000</f>
        <v>266.39215200000001</v>
      </c>
      <c r="E35" s="415">
        <f t="shared" si="0"/>
        <v>667.00496520000002</v>
      </c>
      <c r="F35" s="416">
        <v>-65.12834964000001</v>
      </c>
      <c r="G35" s="416">
        <v>184.8580460209424</v>
      </c>
      <c r="H35" s="415">
        <f t="shared" si="1"/>
        <v>119.72969638094239</v>
      </c>
      <c r="I35" s="416">
        <v>467.40102999999999</v>
      </c>
      <c r="J35" s="416">
        <v>60.056370226056345</v>
      </c>
      <c r="K35" s="415">
        <f t="shared" si="2"/>
        <v>527.45740022605628</v>
      </c>
      <c r="L35" s="416">
        <v>316.90666789559998</v>
      </c>
      <c r="M35" s="416">
        <v>211.27111193039997</v>
      </c>
      <c r="N35" s="415">
        <f t="shared" si="3"/>
        <v>528.17777982600001</v>
      </c>
      <c r="O35" s="415">
        <f t="shared" si="4"/>
        <v>85.366012464400001</v>
      </c>
      <c r="P35" s="415">
        <f t="shared" si="4"/>
        <v>33.643304316598773</v>
      </c>
      <c r="Q35" s="415">
        <f t="shared" si="4"/>
        <v>119.00931678099869</v>
      </c>
    </row>
    <row r="36" spans="1:18" x14ac:dyDescent="0.2">
      <c r="A36" s="17">
        <v>24</v>
      </c>
      <c r="B36" s="184" t="s">
        <v>898</v>
      </c>
      <c r="C36" s="415">
        <f>'T5A_PLAN_vs_PRFM '!D35*254*3.91/100000+'T5B_PLAN_vs_PRFM  (2)'!D35*312*3.91/100000</f>
        <v>478.42533220000001</v>
      </c>
      <c r="D36" s="415">
        <f>'T5A_PLAN_vs_PRFM '!D35*254*2.6/100000+'T5B_PLAN_vs_PRFM  (2)'!D35*312*2.6/100000</f>
        <v>318.13449199999997</v>
      </c>
      <c r="E36" s="415">
        <f t="shared" si="0"/>
        <v>796.55982419999998</v>
      </c>
      <c r="F36" s="416">
        <v>-283.58485000000019</v>
      </c>
      <c r="G36" s="416">
        <v>424.48052623595504</v>
      </c>
      <c r="H36" s="415">
        <f t="shared" si="1"/>
        <v>140.89567623595485</v>
      </c>
      <c r="I36" s="416">
        <v>944.94039999999995</v>
      </c>
      <c r="J36" s="416">
        <v>69.640726665972224</v>
      </c>
      <c r="K36" s="415">
        <f t="shared" si="2"/>
        <v>1014.5811266659722</v>
      </c>
      <c r="L36" s="416">
        <v>562.30398167759995</v>
      </c>
      <c r="M36" s="416">
        <v>374.86932111840002</v>
      </c>
      <c r="N36" s="415">
        <f t="shared" si="3"/>
        <v>937.17330279599992</v>
      </c>
      <c r="O36" s="415">
        <f t="shared" si="4"/>
        <v>99.051568322399817</v>
      </c>
      <c r="P36" s="415">
        <f t="shared" si="4"/>
        <v>119.25193178352725</v>
      </c>
      <c r="Q36" s="415">
        <f t="shared" si="4"/>
        <v>218.30350010592701</v>
      </c>
    </row>
    <row r="37" spans="1:18" s="14" customFormat="1" x14ac:dyDescent="0.2">
      <c r="A37" s="3" t="s">
        <v>15</v>
      </c>
      <c r="B37" s="28"/>
      <c r="C37" s="418">
        <f t="shared" ref="C37:Q37" si="5">SUM(C13:C36)</f>
        <v>9533.3282175999993</v>
      </c>
      <c r="D37" s="418">
        <f t="shared" si="5"/>
        <v>6339.2975360000009</v>
      </c>
      <c r="E37" s="418">
        <f t="shared" si="5"/>
        <v>15872.625753599999</v>
      </c>
      <c r="F37" s="418">
        <f t="shared" si="5"/>
        <v>472.13503586000024</v>
      </c>
      <c r="G37" s="418">
        <f t="shared" si="5"/>
        <v>6626.2083117980437</v>
      </c>
      <c r="H37" s="418">
        <f t="shared" si="5"/>
        <v>7098.3433476580431</v>
      </c>
      <c r="I37" s="418">
        <f t="shared" si="5"/>
        <v>9465.77376</v>
      </c>
      <c r="J37" s="418">
        <f t="shared" si="5"/>
        <v>1383.7071206983726</v>
      </c>
      <c r="K37" s="418">
        <f t="shared" si="5"/>
        <v>10849.480880698375</v>
      </c>
      <c r="L37" s="418">
        <f t="shared" si="5"/>
        <v>8064.4867921223977</v>
      </c>
      <c r="M37" s="418">
        <f t="shared" si="5"/>
        <v>5376.3245280816</v>
      </c>
      <c r="N37" s="418">
        <f t="shared" si="5"/>
        <v>13440.811320204</v>
      </c>
      <c r="O37" s="418">
        <f t="shared" si="5"/>
        <v>1873.4220037376006</v>
      </c>
      <c r="P37" s="418">
        <f t="shared" si="5"/>
        <v>2633.5909044148157</v>
      </c>
      <c r="Q37" s="418">
        <f t="shared" si="5"/>
        <v>4507.0129081524155</v>
      </c>
    </row>
    <row r="38" spans="1:18" x14ac:dyDescent="0.2">
      <c r="A38" s="11"/>
      <c r="B38" s="29"/>
      <c r="C38" s="29"/>
      <c r="D38" s="2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8" ht="14.25" customHeight="1" x14ac:dyDescent="0.2">
      <c r="A39" s="922" t="s">
        <v>663</v>
      </c>
      <c r="B39" s="922"/>
      <c r="C39" s="922"/>
      <c r="D39" s="922"/>
      <c r="E39" s="922"/>
      <c r="F39" s="922"/>
      <c r="G39" s="922"/>
      <c r="H39" s="922"/>
      <c r="I39" s="922"/>
      <c r="J39" s="922"/>
      <c r="K39" s="922"/>
      <c r="L39" s="922"/>
      <c r="M39" s="922"/>
      <c r="N39" s="922"/>
      <c r="O39" s="922"/>
      <c r="P39" s="922"/>
      <c r="Q39" s="922"/>
    </row>
    <row r="40" spans="1:18" ht="14.25" customHeight="1" x14ac:dyDescent="0.2">
      <c r="A40" s="555"/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</row>
    <row r="41" spans="1:18" ht="14.25" customHeight="1" x14ac:dyDescent="0.2">
      <c r="A41" s="555"/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</row>
    <row r="42" spans="1:18" ht="14.25" customHeight="1" x14ac:dyDescent="0.2">
      <c r="A42" s="670" t="s">
        <v>11</v>
      </c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69"/>
      <c r="O42" s="669"/>
      <c r="P42" s="758" t="s">
        <v>1107</v>
      </c>
      <c r="Q42" s="758"/>
      <c r="R42" s="669"/>
    </row>
    <row r="43" spans="1:18" ht="15.75" customHeight="1" x14ac:dyDescent="0.2">
      <c r="A43" s="758" t="s">
        <v>1108</v>
      </c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669"/>
    </row>
    <row r="44" spans="1:18" ht="12.75" customHeight="1" x14ac:dyDescent="0.2">
      <c r="A44" s="758" t="s">
        <v>1111</v>
      </c>
      <c r="B44" s="758"/>
      <c r="C44" s="758"/>
      <c r="D44" s="758"/>
      <c r="E44" s="758"/>
      <c r="F44" s="758"/>
      <c r="G44" s="758"/>
      <c r="H44" s="758"/>
      <c r="I44" s="758"/>
      <c r="J44" s="758"/>
      <c r="K44" s="758"/>
      <c r="L44" s="758"/>
      <c r="M44" s="758"/>
      <c r="N44" s="758"/>
      <c r="O44" s="758"/>
      <c r="P44" s="758"/>
      <c r="Q44" s="758"/>
      <c r="R44" s="669"/>
    </row>
    <row r="45" spans="1:18" ht="12.75" customHeight="1" x14ac:dyDescent="0.2">
      <c r="A45" s="670"/>
      <c r="B45" s="670"/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69"/>
      <c r="O45" s="756" t="s">
        <v>1110</v>
      </c>
      <c r="P45" s="756"/>
      <c r="Q45" s="756"/>
      <c r="R45" s="756"/>
    </row>
  </sheetData>
  <mergeCells count="18">
    <mergeCell ref="A44:Q44"/>
    <mergeCell ref="O45:R45"/>
    <mergeCell ref="P1:Q1"/>
    <mergeCell ref="O10:Q10"/>
    <mergeCell ref="A39:Q39"/>
    <mergeCell ref="C10:E10"/>
    <mergeCell ref="F10:H10"/>
    <mergeCell ref="A43:Q43"/>
    <mergeCell ref="P42:Q42"/>
    <mergeCell ref="R1:R10"/>
    <mergeCell ref="A2:Q2"/>
    <mergeCell ref="A3:Q3"/>
    <mergeCell ref="N9:Q9"/>
    <mergeCell ref="A10:A11"/>
    <mergeCell ref="B10:B11"/>
    <mergeCell ref="A6:Q6"/>
    <mergeCell ref="I10:K10"/>
    <mergeCell ref="L10:N10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view="pageBreakPreview" topLeftCell="A12" zoomScale="85" zoomScaleNormal="80" zoomScaleSheetLayoutView="85" workbookViewId="0">
      <selection activeCell="P40" sqref="P40"/>
    </sheetView>
  </sheetViews>
  <sheetFormatPr defaultRowHeight="12.75" x14ac:dyDescent="0.2"/>
  <cols>
    <col min="2" max="2" width="15.28515625" bestFit="1" customWidth="1"/>
    <col min="3" max="16" width="11" customWidth="1"/>
    <col min="17" max="17" width="10" customWidth="1"/>
    <col min="18" max="19" width="9.28515625" customWidth="1"/>
    <col min="20" max="20" width="11.28515625" customWidth="1"/>
    <col min="21" max="21" width="11.140625" customWidth="1"/>
    <col min="22" max="22" width="11.85546875" customWidth="1"/>
  </cols>
  <sheetData>
    <row r="1" spans="1:24" ht="15" x14ac:dyDescent="0.2">
      <c r="Q1" s="924" t="s">
        <v>61</v>
      </c>
      <c r="R1" s="924"/>
      <c r="S1" s="924"/>
      <c r="T1" s="924"/>
      <c r="U1" s="924"/>
      <c r="V1" s="924"/>
    </row>
    <row r="3" spans="1:24" ht="15" x14ac:dyDescent="0.2">
      <c r="A3" s="878" t="s">
        <v>0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</row>
    <row r="4" spans="1:24" ht="20.25" x14ac:dyDescent="0.3">
      <c r="A4" s="844" t="s">
        <v>694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40"/>
    </row>
    <row r="5" spans="1:24" ht="15.75" x14ac:dyDescent="0.25">
      <c r="A5" s="33" t="s">
        <v>1098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24" x14ac:dyDescent="0.2">
      <c r="A6" s="33"/>
      <c r="B6" s="33"/>
      <c r="C6" s="15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8" spans="1:24" ht="15.75" x14ac:dyDescent="0.25">
      <c r="A8" s="790" t="s">
        <v>840</v>
      </c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</row>
    <row r="9" spans="1:24" ht="15.75" x14ac:dyDescent="0.25">
      <c r="A9" s="43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33"/>
      <c r="R9" s="33"/>
      <c r="S9" s="33"/>
      <c r="U9" s="927" t="s">
        <v>214</v>
      </c>
      <c r="V9" s="927"/>
    </row>
    <row r="10" spans="1:24" x14ac:dyDescent="0.2">
      <c r="P10" s="870" t="s">
        <v>773</v>
      </c>
      <c r="Q10" s="870"/>
      <c r="R10" s="870"/>
      <c r="S10" s="870"/>
      <c r="T10" s="870"/>
      <c r="U10" s="870"/>
      <c r="V10" s="870"/>
    </row>
    <row r="11" spans="1:24" ht="28.5" customHeight="1" x14ac:dyDescent="0.2">
      <c r="A11" s="925" t="s">
        <v>19</v>
      </c>
      <c r="B11" s="727" t="s">
        <v>194</v>
      </c>
      <c r="C11" s="727" t="s">
        <v>363</v>
      </c>
      <c r="D11" s="727" t="s">
        <v>467</v>
      </c>
      <c r="E11" s="793" t="s">
        <v>753</v>
      </c>
      <c r="F11" s="793"/>
      <c r="G11" s="793"/>
      <c r="H11" s="770" t="s">
        <v>784</v>
      </c>
      <c r="I11" s="771"/>
      <c r="J11" s="772"/>
      <c r="K11" s="916" t="s">
        <v>365</v>
      </c>
      <c r="L11" s="917"/>
      <c r="M11" s="918"/>
      <c r="N11" s="928" t="s">
        <v>148</v>
      </c>
      <c r="O11" s="929"/>
      <c r="P11" s="930"/>
      <c r="Q11" s="775" t="s">
        <v>785</v>
      </c>
      <c r="R11" s="775"/>
      <c r="S11" s="775"/>
      <c r="T11" s="727" t="s">
        <v>236</v>
      </c>
      <c r="U11" s="727" t="s">
        <v>417</v>
      </c>
      <c r="V11" s="727" t="s">
        <v>366</v>
      </c>
    </row>
    <row r="12" spans="1:24" ht="65.25" customHeight="1" x14ac:dyDescent="0.2">
      <c r="A12" s="926"/>
      <c r="B12" s="728"/>
      <c r="C12" s="728"/>
      <c r="D12" s="728"/>
      <c r="E12" s="5" t="s">
        <v>169</v>
      </c>
      <c r="F12" s="5" t="s">
        <v>195</v>
      </c>
      <c r="G12" s="5" t="s">
        <v>15</v>
      </c>
      <c r="H12" s="5" t="s">
        <v>169</v>
      </c>
      <c r="I12" s="5" t="s">
        <v>195</v>
      </c>
      <c r="J12" s="5" t="s">
        <v>15</v>
      </c>
      <c r="K12" s="5" t="s">
        <v>169</v>
      </c>
      <c r="L12" s="5" t="s">
        <v>195</v>
      </c>
      <c r="M12" s="5" t="s">
        <v>15</v>
      </c>
      <c r="N12" s="5" t="s">
        <v>169</v>
      </c>
      <c r="O12" s="5" t="s">
        <v>195</v>
      </c>
      <c r="P12" s="5" t="s">
        <v>15</v>
      </c>
      <c r="Q12" s="5" t="s">
        <v>224</v>
      </c>
      <c r="R12" s="5" t="s">
        <v>206</v>
      </c>
      <c r="S12" s="5" t="s">
        <v>207</v>
      </c>
      <c r="T12" s="728"/>
      <c r="U12" s="728"/>
      <c r="V12" s="728"/>
    </row>
    <row r="13" spans="1:24" x14ac:dyDescent="0.2">
      <c r="A13" s="151">
        <v>1</v>
      </c>
      <c r="B13" s="99">
        <v>2</v>
      </c>
      <c r="C13" s="8">
        <v>3</v>
      </c>
      <c r="D13" s="99">
        <v>4</v>
      </c>
      <c r="E13" s="99">
        <v>5</v>
      </c>
      <c r="F13" s="8">
        <v>6</v>
      </c>
      <c r="G13" s="99">
        <v>7</v>
      </c>
      <c r="H13" s="99">
        <v>8</v>
      </c>
      <c r="I13" s="8">
        <v>9</v>
      </c>
      <c r="J13" s="99">
        <v>10</v>
      </c>
      <c r="K13" s="99">
        <v>11</v>
      </c>
      <c r="L13" s="8">
        <v>12</v>
      </c>
      <c r="M13" s="99">
        <v>13</v>
      </c>
      <c r="N13" s="99">
        <v>14</v>
      </c>
      <c r="O13" s="8">
        <v>15</v>
      </c>
      <c r="P13" s="99">
        <v>16</v>
      </c>
      <c r="Q13" s="99">
        <v>17</v>
      </c>
      <c r="R13" s="8">
        <v>18</v>
      </c>
      <c r="S13" s="99">
        <v>19</v>
      </c>
      <c r="T13" s="99">
        <v>20</v>
      </c>
      <c r="U13" s="8">
        <v>21</v>
      </c>
      <c r="V13" s="99">
        <v>22</v>
      </c>
    </row>
    <row r="14" spans="1:24" x14ac:dyDescent="0.2">
      <c r="A14" s="17">
        <v>1</v>
      </c>
      <c r="B14" s="184" t="s">
        <v>875</v>
      </c>
      <c r="C14" s="417">
        <v>5316</v>
      </c>
      <c r="D14" s="530">
        <v>4982</v>
      </c>
      <c r="E14" s="419">
        <f>C14*600*10/100000</f>
        <v>318.95999999999998</v>
      </c>
      <c r="F14" s="416">
        <f>C14*900*10/100000</f>
        <v>478.44</v>
      </c>
      <c r="G14" s="419">
        <f>SUM(E14:F14)</f>
        <v>797.4</v>
      </c>
      <c r="H14" s="419">
        <v>-6.2766500000000747</v>
      </c>
      <c r="I14" s="416">
        <v>56.083100000000059</v>
      </c>
      <c r="J14" s="419">
        <f>SUM(H14:I14)</f>
        <v>49.806449999999984</v>
      </c>
      <c r="K14" s="419">
        <v>325.95730999999995</v>
      </c>
      <c r="L14" s="416">
        <v>124.29600000000001</v>
      </c>
      <c r="M14" s="419">
        <f>SUM(K14:L14)</f>
        <v>450.25330999999994</v>
      </c>
      <c r="N14" s="419">
        <v>299.62</v>
      </c>
      <c r="O14" s="416">
        <v>449.45000000000005</v>
      </c>
      <c r="P14" s="419">
        <f>SUM(N14:O14)</f>
        <v>749.07</v>
      </c>
      <c r="Q14" s="419">
        <f>H14+K14-N14</f>
        <v>20.060659999999871</v>
      </c>
      <c r="R14" s="419">
        <f>I14+L14-O14</f>
        <v>-269.07089999999999</v>
      </c>
      <c r="S14" s="419">
        <f>J14+M14-P14</f>
        <v>-249.01024000000012</v>
      </c>
      <c r="T14" s="245" t="s">
        <v>928</v>
      </c>
      <c r="U14" s="531">
        <f>D14</f>
        <v>4982</v>
      </c>
      <c r="V14" s="530">
        <f>U14</f>
        <v>4982</v>
      </c>
      <c r="X14" s="425">
        <v>298.91999999999996</v>
      </c>
    </row>
    <row r="15" spans="1:24" x14ac:dyDescent="0.2">
      <c r="A15" s="17">
        <v>2</v>
      </c>
      <c r="B15" s="184" t="s">
        <v>876</v>
      </c>
      <c r="C15" s="417">
        <v>1637</v>
      </c>
      <c r="D15" s="530">
        <v>1627</v>
      </c>
      <c r="E15" s="419">
        <f t="shared" ref="E15:E37" si="0">C15*600*10/100000</f>
        <v>98.22</v>
      </c>
      <c r="F15" s="416">
        <f t="shared" ref="F15:F37" si="1">C15*900*10/100000</f>
        <v>147.33000000000001</v>
      </c>
      <c r="G15" s="419">
        <f t="shared" ref="G15:G37" si="2">SUM(E15:F15)</f>
        <v>245.55</v>
      </c>
      <c r="H15" s="419">
        <v>-21.915080000000017</v>
      </c>
      <c r="I15" s="416">
        <v>14.170800000000014</v>
      </c>
      <c r="J15" s="419">
        <f t="shared" ref="J15:J37" si="3">SUM(H15:I15)</f>
        <v>-7.7442800000000034</v>
      </c>
      <c r="K15" s="419">
        <v>155.25973000000002</v>
      </c>
      <c r="L15" s="416">
        <v>0</v>
      </c>
      <c r="M15" s="419">
        <f t="shared" ref="M15:M37" si="4">SUM(K15:L15)</f>
        <v>155.25973000000002</v>
      </c>
      <c r="N15" s="419">
        <v>97.600000000000009</v>
      </c>
      <c r="O15" s="416">
        <v>146.5</v>
      </c>
      <c r="P15" s="419">
        <f t="shared" ref="P15:P37" si="5">SUM(N15:O15)</f>
        <v>244.10000000000002</v>
      </c>
      <c r="Q15" s="419">
        <f t="shared" ref="Q15:Q37" si="6">H15+K15-N15</f>
        <v>35.744649999999993</v>
      </c>
      <c r="R15" s="419">
        <f t="shared" ref="R15:R37" si="7">I15+L15-O15</f>
        <v>-132.32919999999999</v>
      </c>
      <c r="S15" s="419">
        <f t="shared" ref="S15:S37" si="8">J15+M15-P15</f>
        <v>-96.584550000000007</v>
      </c>
      <c r="T15" s="245" t="s">
        <v>928</v>
      </c>
      <c r="U15" s="531">
        <f t="shared" ref="U15:U37" si="9">D15</f>
        <v>1627</v>
      </c>
      <c r="V15" s="530">
        <f t="shared" ref="V15:V37" si="10">U15</f>
        <v>1627</v>
      </c>
      <c r="X15" s="425">
        <v>146.43</v>
      </c>
    </row>
    <row r="16" spans="1:24" x14ac:dyDescent="0.2">
      <c r="A16" s="17">
        <v>3</v>
      </c>
      <c r="B16" s="184" t="s">
        <v>877</v>
      </c>
      <c r="C16" s="417">
        <v>1205</v>
      </c>
      <c r="D16" s="530">
        <v>1205</v>
      </c>
      <c r="E16" s="419">
        <f t="shared" si="0"/>
        <v>72.3</v>
      </c>
      <c r="F16" s="416">
        <f t="shared" si="1"/>
        <v>108.45</v>
      </c>
      <c r="G16" s="419">
        <f t="shared" si="2"/>
        <v>180.75</v>
      </c>
      <c r="H16" s="419">
        <v>-18.513459999999966</v>
      </c>
      <c r="I16" s="416">
        <v>98.559300000000036</v>
      </c>
      <c r="J16" s="419">
        <f t="shared" si="3"/>
        <v>80.045840000000069</v>
      </c>
      <c r="K16" s="419">
        <v>78.839540000000014</v>
      </c>
      <c r="L16" s="416">
        <v>9.64</v>
      </c>
      <c r="M16" s="419">
        <f t="shared" si="4"/>
        <v>88.479540000000014</v>
      </c>
      <c r="N16" s="419">
        <v>65.070000000000007</v>
      </c>
      <c r="O16" s="416">
        <v>130.87</v>
      </c>
      <c r="P16" s="419">
        <f t="shared" si="5"/>
        <v>195.94</v>
      </c>
      <c r="Q16" s="419">
        <f t="shared" si="6"/>
        <v>-4.7439199999999602</v>
      </c>
      <c r="R16" s="419">
        <f t="shared" si="7"/>
        <v>-22.670699999999968</v>
      </c>
      <c r="S16" s="419">
        <f t="shared" si="8"/>
        <v>-27.4146199999999</v>
      </c>
      <c r="T16" s="245" t="s">
        <v>928</v>
      </c>
      <c r="U16" s="531">
        <f t="shared" si="9"/>
        <v>1205</v>
      </c>
      <c r="V16" s="530">
        <f t="shared" si="10"/>
        <v>1205</v>
      </c>
      <c r="X16" s="425">
        <v>72.300000000000011</v>
      </c>
    </row>
    <row r="17" spans="1:24" x14ac:dyDescent="0.2">
      <c r="A17" s="17">
        <v>4</v>
      </c>
      <c r="B17" s="184" t="s">
        <v>878</v>
      </c>
      <c r="C17" s="417">
        <v>3721</v>
      </c>
      <c r="D17" s="530">
        <v>3686</v>
      </c>
      <c r="E17" s="419">
        <f t="shared" si="0"/>
        <v>223.26</v>
      </c>
      <c r="F17" s="416">
        <f t="shared" si="1"/>
        <v>334.89</v>
      </c>
      <c r="G17" s="419">
        <f t="shared" si="2"/>
        <v>558.15</v>
      </c>
      <c r="H17" s="419">
        <v>-44.177379999999999</v>
      </c>
      <c r="I17" s="416">
        <v>-41.440999999999917</v>
      </c>
      <c r="J17" s="419">
        <f t="shared" si="3"/>
        <v>-85.618379999999917</v>
      </c>
      <c r="K17" s="419">
        <v>20.001159999999999</v>
      </c>
      <c r="L17" s="416">
        <v>0</v>
      </c>
      <c r="M17" s="419">
        <f t="shared" si="4"/>
        <v>20.001159999999999</v>
      </c>
      <c r="N17" s="419">
        <v>137.14000000000001</v>
      </c>
      <c r="O17" s="416">
        <v>368.43</v>
      </c>
      <c r="P17" s="419">
        <f t="shared" si="5"/>
        <v>505.57000000000005</v>
      </c>
      <c r="Q17" s="419">
        <f t="shared" si="6"/>
        <v>-161.31622000000002</v>
      </c>
      <c r="R17" s="419">
        <f t="shared" si="7"/>
        <v>-409.87099999999992</v>
      </c>
      <c r="S17" s="419">
        <f t="shared" si="8"/>
        <v>-571.18722000000002</v>
      </c>
      <c r="T17" s="245" t="s">
        <v>928</v>
      </c>
      <c r="U17" s="531">
        <f t="shared" si="9"/>
        <v>3686</v>
      </c>
      <c r="V17" s="530">
        <f t="shared" si="10"/>
        <v>3686</v>
      </c>
      <c r="X17" s="425">
        <v>0</v>
      </c>
    </row>
    <row r="18" spans="1:24" x14ac:dyDescent="0.2">
      <c r="A18" s="17">
        <v>5</v>
      </c>
      <c r="B18" s="184" t="s">
        <v>879</v>
      </c>
      <c r="C18" s="417">
        <v>2269</v>
      </c>
      <c r="D18" s="530">
        <v>2093</v>
      </c>
      <c r="E18" s="419">
        <f t="shared" si="0"/>
        <v>136.13999999999999</v>
      </c>
      <c r="F18" s="416">
        <f t="shared" si="1"/>
        <v>204.21</v>
      </c>
      <c r="G18" s="419">
        <f t="shared" si="2"/>
        <v>340.35</v>
      </c>
      <c r="H18" s="419">
        <v>11.305975000000004</v>
      </c>
      <c r="I18" s="416">
        <v>-2.0000000000095497E-3</v>
      </c>
      <c r="J18" s="419">
        <f t="shared" si="3"/>
        <v>11.303974999999994</v>
      </c>
      <c r="K18" s="419">
        <v>136.93870999999999</v>
      </c>
      <c r="L18" s="416">
        <v>41.86</v>
      </c>
      <c r="M18" s="419">
        <f t="shared" si="4"/>
        <v>178.79870999999997</v>
      </c>
      <c r="N18" s="419">
        <v>113.03</v>
      </c>
      <c r="O18" s="416">
        <v>195.74599999999998</v>
      </c>
      <c r="P18" s="419">
        <f t="shared" si="5"/>
        <v>308.77599999999995</v>
      </c>
      <c r="Q18" s="419">
        <f t="shared" si="6"/>
        <v>35.214685000000003</v>
      </c>
      <c r="R18" s="419">
        <f t="shared" si="7"/>
        <v>-153.88799999999998</v>
      </c>
      <c r="S18" s="419">
        <f t="shared" si="8"/>
        <v>-118.673315</v>
      </c>
      <c r="T18" s="245" t="s">
        <v>928</v>
      </c>
      <c r="U18" s="531">
        <f t="shared" si="9"/>
        <v>2093</v>
      </c>
      <c r="V18" s="530">
        <f t="shared" si="10"/>
        <v>2093</v>
      </c>
      <c r="X18" s="425">
        <v>125.57999999999998</v>
      </c>
    </row>
    <row r="19" spans="1:24" x14ac:dyDescent="0.2">
      <c r="A19" s="17">
        <v>6</v>
      </c>
      <c r="B19" s="184" t="s">
        <v>880</v>
      </c>
      <c r="C19" s="417">
        <v>3472</v>
      </c>
      <c r="D19" s="530">
        <v>3467</v>
      </c>
      <c r="E19" s="419">
        <f t="shared" si="0"/>
        <v>208.32</v>
      </c>
      <c r="F19" s="416">
        <f t="shared" si="1"/>
        <v>312.48</v>
      </c>
      <c r="G19" s="419">
        <f t="shared" si="2"/>
        <v>520.79999999999995</v>
      </c>
      <c r="H19" s="419">
        <v>-113.81069999999997</v>
      </c>
      <c r="I19" s="416">
        <v>83.904950000000042</v>
      </c>
      <c r="J19" s="419">
        <f t="shared" si="3"/>
        <v>-29.905749999999927</v>
      </c>
      <c r="K19" s="419">
        <v>226.83541000000002</v>
      </c>
      <c r="L19" s="416">
        <v>83.207999999999998</v>
      </c>
      <c r="M19" s="419">
        <f t="shared" si="4"/>
        <v>310.04340999999999</v>
      </c>
      <c r="N19" s="419">
        <v>202.93199999999999</v>
      </c>
      <c r="O19" s="416">
        <v>259.62299999999999</v>
      </c>
      <c r="P19" s="419">
        <f t="shared" si="5"/>
        <v>462.55499999999995</v>
      </c>
      <c r="Q19" s="419">
        <f t="shared" si="6"/>
        <v>-89.907289999999932</v>
      </c>
      <c r="R19" s="419">
        <f t="shared" si="7"/>
        <v>-92.51004999999995</v>
      </c>
      <c r="S19" s="419">
        <f t="shared" si="8"/>
        <v>-182.41733999999985</v>
      </c>
      <c r="T19" s="245" t="s">
        <v>928</v>
      </c>
      <c r="U19" s="531">
        <f t="shared" si="9"/>
        <v>3467</v>
      </c>
      <c r="V19" s="530">
        <f t="shared" si="10"/>
        <v>3467</v>
      </c>
      <c r="X19" s="425">
        <v>208.02</v>
      </c>
    </row>
    <row r="20" spans="1:24" x14ac:dyDescent="0.2">
      <c r="A20" s="17">
        <v>7</v>
      </c>
      <c r="B20" s="184" t="s">
        <v>881</v>
      </c>
      <c r="C20" s="417">
        <v>2850</v>
      </c>
      <c r="D20" s="530">
        <v>2687</v>
      </c>
      <c r="E20" s="419">
        <f t="shared" si="0"/>
        <v>171</v>
      </c>
      <c r="F20" s="416">
        <f t="shared" si="1"/>
        <v>256.5</v>
      </c>
      <c r="G20" s="419">
        <f t="shared" si="2"/>
        <v>427.5</v>
      </c>
      <c r="H20" s="419">
        <v>-72.160619999999994</v>
      </c>
      <c r="I20" s="416">
        <v>89.737599999999958</v>
      </c>
      <c r="J20" s="419">
        <f t="shared" si="3"/>
        <v>17.576979999999963</v>
      </c>
      <c r="K20" s="419">
        <v>125.10425000000001</v>
      </c>
      <c r="L20" s="416">
        <v>68.400000000000006</v>
      </c>
      <c r="M20" s="419">
        <f t="shared" si="4"/>
        <v>193.50425000000001</v>
      </c>
      <c r="N20" s="419">
        <v>154.52999999999997</v>
      </c>
      <c r="O20" s="416">
        <v>132.375</v>
      </c>
      <c r="P20" s="419">
        <f t="shared" si="5"/>
        <v>286.90499999999997</v>
      </c>
      <c r="Q20" s="419">
        <f t="shared" si="6"/>
        <v>-101.58636999999996</v>
      </c>
      <c r="R20" s="419">
        <f t="shared" si="7"/>
        <v>25.762599999999964</v>
      </c>
      <c r="S20" s="419">
        <f t="shared" si="8"/>
        <v>-75.823769999999996</v>
      </c>
      <c r="T20" s="245" t="s">
        <v>928</v>
      </c>
      <c r="U20" s="531">
        <f t="shared" si="9"/>
        <v>2687</v>
      </c>
      <c r="V20" s="530">
        <f t="shared" si="10"/>
        <v>2687</v>
      </c>
      <c r="X20" s="425">
        <v>110.5219</v>
      </c>
    </row>
    <row r="21" spans="1:24" x14ac:dyDescent="0.2">
      <c r="A21" s="17">
        <v>8</v>
      </c>
      <c r="B21" s="184" t="s">
        <v>882</v>
      </c>
      <c r="C21" s="417">
        <v>3818</v>
      </c>
      <c r="D21" s="530">
        <v>3717</v>
      </c>
      <c r="E21" s="419">
        <f t="shared" si="0"/>
        <v>229.08</v>
      </c>
      <c r="F21" s="416">
        <f t="shared" si="1"/>
        <v>343.62</v>
      </c>
      <c r="G21" s="419">
        <f t="shared" si="2"/>
        <v>572.70000000000005</v>
      </c>
      <c r="H21" s="419">
        <v>25.325404999999932</v>
      </c>
      <c r="I21" s="416">
        <v>109.05939999999998</v>
      </c>
      <c r="J21" s="419">
        <f t="shared" si="3"/>
        <v>134.38480499999991</v>
      </c>
      <c r="K21" s="419">
        <v>243.19216</v>
      </c>
      <c r="L21" s="416">
        <v>0</v>
      </c>
      <c r="M21" s="419">
        <f t="shared" si="4"/>
        <v>243.19216</v>
      </c>
      <c r="N21" s="419">
        <v>156.10000000000002</v>
      </c>
      <c r="O21" s="416">
        <v>234.18</v>
      </c>
      <c r="P21" s="419">
        <f t="shared" si="5"/>
        <v>390.28000000000003</v>
      </c>
      <c r="Q21" s="419">
        <f t="shared" si="6"/>
        <v>112.41756499999991</v>
      </c>
      <c r="R21" s="419">
        <f t="shared" si="7"/>
        <v>-125.12060000000002</v>
      </c>
      <c r="S21" s="419">
        <f t="shared" si="8"/>
        <v>-12.703035000000114</v>
      </c>
      <c r="T21" s="245" t="s">
        <v>928</v>
      </c>
      <c r="U21" s="531">
        <f t="shared" si="9"/>
        <v>3717</v>
      </c>
      <c r="V21" s="530">
        <f t="shared" si="10"/>
        <v>3717</v>
      </c>
      <c r="X21" s="425">
        <v>223.02</v>
      </c>
    </row>
    <row r="22" spans="1:24" x14ac:dyDescent="0.2">
      <c r="A22" s="17">
        <v>9</v>
      </c>
      <c r="B22" s="184" t="s">
        <v>883</v>
      </c>
      <c r="C22" s="417">
        <v>5569</v>
      </c>
      <c r="D22" s="530">
        <v>5569</v>
      </c>
      <c r="E22" s="419">
        <f t="shared" si="0"/>
        <v>334.14</v>
      </c>
      <c r="F22" s="416">
        <f t="shared" si="1"/>
        <v>501.21</v>
      </c>
      <c r="G22" s="419">
        <f t="shared" si="2"/>
        <v>835.34999999999991</v>
      </c>
      <c r="H22" s="419">
        <v>-75.983555000000024</v>
      </c>
      <c r="I22" s="416">
        <v>119.59450000000004</v>
      </c>
      <c r="J22" s="419">
        <f t="shared" si="3"/>
        <v>43.610945000000015</v>
      </c>
      <c r="K22" s="419">
        <v>440.09595999999999</v>
      </c>
      <c r="L22" s="416">
        <v>109.78</v>
      </c>
      <c r="M22" s="419">
        <f t="shared" si="4"/>
        <v>549.87595999999996</v>
      </c>
      <c r="N22" s="419">
        <v>179.23</v>
      </c>
      <c r="O22" s="416">
        <v>392.13</v>
      </c>
      <c r="P22" s="419">
        <f t="shared" si="5"/>
        <v>571.36</v>
      </c>
      <c r="Q22" s="419">
        <f t="shared" si="6"/>
        <v>184.88240499999998</v>
      </c>
      <c r="R22" s="419">
        <f t="shared" si="7"/>
        <v>-162.75549999999996</v>
      </c>
      <c r="S22" s="419">
        <f t="shared" si="8"/>
        <v>22.126904999999965</v>
      </c>
      <c r="T22" s="245" t="s">
        <v>928</v>
      </c>
      <c r="U22" s="531">
        <f t="shared" si="9"/>
        <v>5569</v>
      </c>
      <c r="V22" s="530">
        <f t="shared" si="10"/>
        <v>5569</v>
      </c>
      <c r="X22" s="425">
        <v>409.87299999999999</v>
      </c>
    </row>
    <row r="23" spans="1:24" x14ac:dyDescent="0.2">
      <c r="A23" s="17">
        <v>10</v>
      </c>
      <c r="B23" s="184" t="s">
        <v>884</v>
      </c>
      <c r="C23" s="417">
        <v>2600</v>
      </c>
      <c r="D23" s="530">
        <v>2421</v>
      </c>
      <c r="E23" s="419">
        <f t="shared" si="0"/>
        <v>156</v>
      </c>
      <c r="F23" s="416">
        <f t="shared" si="1"/>
        <v>234</v>
      </c>
      <c r="G23" s="419">
        <f t="shared" si="2"/>
        <v>390</v>
      </c>
      <c r="H23" s="419">
        <v>8.722025000000059</v>
      </c>
      <c r="I23" s="416">
        <v>-4.9999999998817657E-4</v>
      </c>
      <c r="J23" s="419">
        <f t="shared" si="3"/>
        <v>8.7215250000000708</v>
      </c>
      <c r="K23" s="419">
        <v>158.39876999999998</v>
      </c>
      <c r="L23" s="416">
        <v>49</v>
      </c>
      <c r="M23" s="419">
        <f t="shared" si="4"/>
        <v>207.39876999999998</v>
      </c>
      <c r="N23" s="419">
        <v>17.64</v>
      </c>
      <c r="O23" s="416">
        <v>88.09</v>
      </c>
      <c r="P23" s="419">
        <f t="shared" si="5"/>
        <v>105.73</v>
      </c>
      <c r="Q23" s="419">
        <f t="shared" si="6"/>
        <v>149.48079500000006</v>
      </c>
      <c r="R23" s="419">
        <f t="shared" si="7"/>
        <v>-39.090499999999992</v>
      </c>
      <c r="S23" s="419">
        <f t="shared" si="8"/>
        <v>110.39029500000005</v>
      </c>
      <c r="T23" s="245" t="s">
        <v>928</v>
      </c>
      <c r="U23" s="531">
        <f t="shared" si="9"/>
        <v>2421</v>
      </c>
      <c r="V23" s="530">
        <f t="shared" si="10"/>
        <v>2421</v>
      </c>
      <c r="X23" s="425">
        <v>145.26</v>
      </c>
    </row>
    <row r="24" spans="1:24" x14ac:dyDescent="0.2">
      <c r="A24" s="17">
        <v>11</v>
      </c>
      <c r="B24" s="184" t="s">
        <v>885</v>
      </c>
      <c r="C24" s="417">
        <v>3429</v>
      </c>
      <c r="D24" s="530">
        <v>3429</v>
      </c>
      <c r="E24" s="419">
        <f t="shared" si="0"/>
        <v>205.74</v>
      </c>
      <c r="F24" s="416">
        <f t="shared" si="1"/>
        <v>308.61</v>
      </c>
      <c r="G24" s="419">
        <f t="shared" si="2"/>
        <v>514.35</v>
      </c>
      <c r="H24" s="419">
        <v>62.685024999999996</v>
      </c>
      <c r="I24" s="416">
        <v>-74.814199999999943</v>
      </c>
      <c r="J24" s="419">
        <f t="shared" si="3"/>
        <v>-12.129174999999947</v>
      </c>
      <c r="K24" s="419">
        <v>224.34918000000002</v>
      </c>
      <c r="L24" s="416">
        <v>27.431999999999999</v>
      </c>
      <c r="M24" s="419">
        <f t="shared" si="4"/>
        <v>251.78118000000001</v>
      </c>
      <c r="N24" s="419">
        <v>61.722000000000001</v>
      </c>
      <c r="O24" s="416">
        <v>120.79311</v>
      </c>
      <c r="P24" s="419">
        <f t="shared" si="5"/>
        <v>182.51510999999999</v>
      </c>
      <c r="Q24" s="419">
        <f t="shared" si="6"/>
        <v>225.31220500000003</v>
      </c>
      <c r="R24" s="419">
        <f t="shared" si="7"/>
        <v>-168.17530999999994</v>
      </c>
      <c r="S24" s="419">
        <f t="shared" si="8"/>
        <v>57.136895000000067</v>
      </c>
      <c r="T24" s="245" t="s">
        <v>928</v>
      </c>
      <c r="U24" s="531">
        <f t="shared" si="9"/>
        <v>3429</v>
      </c>
      <c r="V24" s="530">
        <f t="shared" si="10"/>
        <v>3429</v>
      </c>
      <c r="X24" s="425">
        <v>205.74</v>
      </c>
    </row>
    <row r="25" spans="1:24" x14ac:dyDescent="0.2">
      <c r="A25" s="17">
        <v>12</v>
      </c>
      <c r="B25" s="241" t="s">
        <v>886</v>
      </c>
      <c r="C25" s="417">
        <v>3566</v>
      </c>
      <c r="D25" s="530">
        <v>3445</v>
      </c>
      <c r="E25" s="419">
        <f t="shared" si="0"/>
        <v>213.96</v>
      </c>
      <c r="F25" s="416">
        <f t="shared" si="1"/>
        <v>320.94</v>
      </c>
      <c r="G25" s="419">
        <f t="shared" si="2"/>
        <v>534.9</v>
      </c>
      <c r="H25" s="419">
        <v>-50.328140000000047</v>
      </c>
      <c r="I25" s="416">
        <v>151.58940000000007</v>
      </c>
      <c r="J25" s="419">
        <f t="shared" si="3"/>
        <v>101.26126000000002</v>
      </c>
      <c r="K25" s="419">
        <v>225.39601999999999</v>
      </c>
      <c r="L25" s="416">
        <v>27.56</v>
      </c>
      <c r="M25" s="419">
        <f t="shared" si="4"/>
        <v>252.95602</v>
      </c>
      <c r="N25" s="419">
        <v>132.05000000000001</v>
      </c>
      <c r="O25" s="416">
        <v>198.07999999999998</v>
      </c>
      <c r="P25" s="419">
        <f t="shared" si="5"/>
        <v>330.13</v>
      </c>
      <c r="Q25" s="419">
        <f t="shared" si="6"/>
        <v>43.017879999999934</v>
      </c>
      <c r="R25" s="419">
        <f t="shared" si="7"/>
        <v>-18.930599999999913</v>
      </c>
      <c r="S25" s="419">
        <f t="shared" si="8"/>
        <v>24.087280000000021</v>
      </c>
      <c r="T25" s="245" t="s">
        <v>928</v>
      </c>
      <c r="U25" s="531">
        <f t="shared" si="9"/>
        <v>3445</v>
      </c>
      <c r="V25" s="530">
        <f t="shared" si="10"/>
        <v>3445</v>
      </c>
      <c r="X25" s="425">
        <v>206.7</v>
      </c>
    </row>
    <row r="26" spans="1:24" x14ac:dyDescent="0.2">
      <c r="A26" s="17">
        <v>13</v>
      </c>
      <c r="B26" s="184" t="s">
        <v>887</v>
      </c>
      <c r="C26" s="417">
        <v>1738</v>
      </c>
      <c r="D26" s="530">
        <v>1704</v>
      </c>
      <c r="E26" s="419">
        <f t="shared" si="0"/>
        <v>104.28</v>
      </c>
      <c r="F26" s="416">
        <f t="shared" si="1"/>
        <v>156.41999999999999</v>
      </c>
      <c r="G26" s="419">
        <f t="shared" si="2"/>
        <v>260.7</v>
      </c>
      <c r="H26" s="419">
        <v>-1.9740549999999786</v>
      </c>
      <c r="I26" s="416">
        <v>28.773599999999988</v>
      </c>
      <c r="J26" s="419">
        <f t="shared" si="3"/>
        <v>26.799545000000009</v>
      </c>
      <c r="K26" s="419">
        <v>121.70761</v>
      </c>
      <c r="L26" s="416">
        <v>41.712000000000003</v>
      </c>
      <c r="M26" s="419">
        <f t="shared" si="4"/>
        <v>163.41961000000001</v>
      </c>
      <c r="N26" s="419">
        <v>163.46</v>
      </c>
      <c r="O26" s="416">
        <v>122.51</v>
      </c>
      <c r="P26" s="419">
        <f t="shared" si="5"/>
        <v>285.97000000000003</v>
      </c>
      <c r="Q26" s="419">
        <f t="shared" si="6"/>
        <v>-43.726444999999984</v>
      </c>
      <c r="R26" s="419">
        <f t="shared" si="7"/>
        <v>-52.024400000000014</v>
      </c>
      <c r="S26" s="419">
        <f t="shared" si="8"/>
        <v>-95.750845000000027</v>
      </c>
      <c r="T26" s="245" t="s">
        <v>928</v>
      </c>
      <c r="U26" s="531">
        <f t="shared" si="9"/>
        <v>1704</v>
      </c>
      <c r="V26" s="530">
        <f t="shared" si="10"/>
        <v>1704</v>
      </c>
      <c r="X26" s="425">
        <v>112.46000000000001</v>
      </c>
    </row>
    <row r="27" spans="1:24" x14ac:dyDescent="0.2">
      <c r="A27" s="17">
        <v>14</v>
      </c>
      <c r="B27" s="184" t="s">
        <v>888</v>
      </c>
      <c r="C27" s="417">
        <v>1516</v>
      </c>
      <c r="D27" s="530">
        <v>1506</v>
      </c>
      <c r="E27" s="419">
        <f t="shared" si="0"/>
        <v>90.96</v>
      </c>
      <c r="F27" s="416">
        <f t="shared" si="1"/>
        <v>136.44</v>
      </c>
      <c r="G27" s="419">
        <f t="shared" si="2"/>
        <v>227.39999999999998</v>
      </c>
      <c r="H27" s="419">
        <v>-10.816924999999969</v>
      </c>
      <c r="I27" s="416">
        <v>-20.217396999999977</v>
      </c>
      <c r="J27" s="419">
        <f t="shared" si="3"/>
        <v>-31.034321999999946</v>
      </c>
      <c r="K27" s="419">
        <v>121.07805999999999</v>
      </c>
      <c r="L27" s="416">
        <v>24.096</v>
      </c>
      <c r="M27" s="419">
        <f t="shared" si="4"/>
        <v>145.17406</v>
      </c>
      <c r="N27" s="419">
        <v>112.94999999999999</v>
      </c>
      <c r="O27" s="416">
        <v>112.94999999999999</v>
      </c>
      <c r="P27" s="419">
        <f t="shared" si="5"/>
        <v>225.89999999999998</v>
      </c>
      <c r="Q27" s="419">
        <f t="shared" si="6"/>
        <v>-2.6888649999999643</v>
      </c>
      <c r="R27" s="419">
        <f t="shared" si="7"/>
        <v>-109.07139699999996</v>
      </c>
      <c r="S27" s="419">
        <f t="shared" si="8"/>
        <v>-111.76026199999993</v>
      </c>
      <c r="T27" s="245" t="s">
        <v>928</v>
      </c>
      <c r="U27" s="531">
        <f t="shared" si="9"/>
        <v>1506</v>
      </c>
      <c r="V27" s="530">
        <f t="shared" si="10"/>
        <v>1506</v>
      </c>
      <c r="X27" s="425">
        <v>112.905</v>
      </c>
    </row>
    <row r="28" spans="1:24" x14ac:dyDescent="0.2">
      <c r="A28" s="17">
        <v>15</v>
      </c>
      <c r="B28" s="184" t="s">
        <v>889</v>
      </c>
      <c r="C28" s="417">
        <v>4340</v>
      </c>
      <c r="D28" s="530">
        <v>3918</v>
      </c>
      <c r="E28" s="419">
        <f t="shared" si="0"/>
        <v>260.39999999999998</v>
      </c>
      <c r="F28" s="416">
        <f t="shared" si="1"/>
        <v>390.6</v>
      </c>
      <c r="G28" s="419">
        <f t="shared" si="2"/>
        <v>651</v>
      </c>
      <c r="H28" s="419">
        <v>-43.43645500000008</v>
      </c>
      <c r="I28" s="416">
        <v>153.31010000000003</v>
      </c>
      <c r="J28" s="419">
        <f t="shared" si="3"/>
        <v>109.87364499999995</v>
      </c>
      <c r="K28" s="419">
        <v>68.302989999999994</v>
      </c>
      <c r="L28" s="416">
        <v>0</v>
      </c>
      <c r="M28" s="419">
        <f t="shared" si="4"/>
        <v>68.302989999999994</v>
      </c>
      <c r="N28" s="419">
        <v>184.38</v>
      </c>
      <c r="O28" s="416">
        <v>331.65000000000003</v>
      </c>
      <c r="P28" s="419">
        <f t="shared" si="5"/>
        <v>516.03</v>
      </c>
      <c r="Q28" s="419">
        <f t="shared" si="6"/>
        <v>-159.51346500000008</v>
      </c>
      <c r="R28" s="419">
        <f t="shared" si="7"/>
        <v>-178.3399</v>
      </c>
      <c r="S28" s="419">
        <f t="shared" si="8"/>
        <v>-337.85336500000005</v>
      </c>
      <c r="T28" s="245" t="s">
        <v>928</v>
      </c>
      <c r="U28" s="531">
        <f t="shared" si="9"/>
        <v>3918</v>
      </c>
      <c r="V28" s="530">
        <f t="shared" si="10"/>
        <v>3918</v>
      </c>
      <c r="X28" s="425">
        <v>47.04</v>
      </c>
    </row>
    <row r="29" spans="1:24" x14ac:dyDescent="0.2">
      <c r="A29" s="17">
        <v>16</v>
      </c>
      <c r="B29" s="184" t="s">
        <v>890</v>
      </c>
      <c r="C29" s="417">
        <v>6995</v>
      </c>
      <c r="D29" s="530">
        <v>6959</v>
      </c>
      <c r="E29" s="419">
        <f t="shared" si="0"/>
        <v>419.7</v>
      </c>
      <c r="F29" s="416">
        <f t="shared" si="1"/>
        <v>629.54999999999995</v>
      </c>
      <c r="G29" s="419">
        <f t="shared" si="2"/>
        <v>1049.25</v>
      </c>
      <c r="H29" s="419">
        <v>-28.286544999999933</v>
      </c>
      <c r="I29" s="416">
        <v>111.56999999999994</v>
      </c>
      <c r="J29" s="419">
        <f t="shared" si="3"/>
        <v>83.283455000000004</v>
      </c>
      <c r="K29" s="419">
        <v>493.26219000000003</v>
      </c>
      <c r="L29" s="416">
        <v>167.01599999999999</v>
      </c>
      <c r="M29" s="419">
        <f t="shared" si="4"/>
        <v>660.27819</v>
      </c>
      <c r="N29" s="419">
        <v>367.24</v>
      </c>
      <c r="O29" s="416">
        <v>550.86999999999989</v>
      </c>
      <c r="P29" s="419">
        <f t="shared" si="5"/>
        <v>918.1099999999999</v>
      </c>
      <c r="Q29" s="419">
        <f t="shared" si="6"/>
        <v>97.73564500000009</v>
      </c>
      <c r="R29" s="419">
        <f t="shared" si="7"/>
        <v>-272.28399999999999</v>
      </c>
      <c r="S29" s="419">
        <f t="shared" si="8"/>
        <v>-174.5483549999999</v>
      </c>
      <c r="T29" s="245" t="s">
        <v>928</v>
      </c>
      <c r="U29" s="531">
        <f t="shared" si="9"/>
        <v>6959</v>
      </c>
      <c r="V29" s="530">
        <f t="shared" si="10"/>
        <v>6959</v>
      </c>
      <c r="X29" s="425">
        <v>455.49570000000006</v>
      </c>
    </row>
    <row r="30" spans="1:24" x14ac:dyDescent="0.2">
      <c r="A30" s="17">
        <v>17</v>
      </c>
      <c r="B30" s="184" t="s">
        <v>891</v>
      </c>
      <c r="C30" s="417">
        <v>3993</v>
      </c>
      <c r="D30" s="531">
        <v>3771</v>
      </c>
      <c r="E30" s="419">
        <f t="shared" si="0"/>
        <v>239.58</v>
      </c>
      <c r="F30" s="416">
        <f t="shared" si="1"/>
        <v>359.37</v>
      </c>
      <c r="G30" s="419">
        <f t="shared" si="2"/>
        <v>598.95000000000005</v>
      </c>
      <c r="H30" s="416">
        <v>-143.35305500000004</v>
      </c>
      <c r="I30" s="416">
        <v>66.87050000000005</v>
      </c>
      <c r="J30" s="419">
        <f t="shared" si="3"/>
        <v>-76.482554999999991</v>
      </c>
      <c r="K30" s="416">
        <v>130.53174999999999</v>
      </c>
      <c r="L30" s="416">
        <v>45.936</v>
      </c>
      <c r="M30" s="419">
        <f t="shared" si="4"/>
        <v>176.46775</v>
      </c>
      <c r="N30" s="416">
        <v>190.53</v>
      </c>
      <c r="O30" s="416">
        <v>229.62</v>
      </c>
      <c r="P30" s="419">
        <f t="shared" si="5"/>
        <v>420.15</v>
      </c>
      <c r="Q30" s="419">
        <f t="shared" si="6"/>
        <v>-203.35130500000005</v>
      </c>
      <c r="R30" s="419">
        <f t="shared" si="7"/>
        <v>-116.81349999999995</v>
      </c>
      <c r="S30" s="419">
        <f t="shared" si="8"/>
        <v>-320.164805</v>
      </c>
      <c r="T30" s="245" t="s">
        <v>928</v>
      </c>
      <c r="U30" s="531">
        <f t="shared" si="9"/>
        <v>3771</v>
      </c>
      <c r="V30" s="530">
        <f t="shared" si="10"/>
        <v>3771</v>
      </c>
      <c r="X30" s="425">
        <v>110.06653</v>
      </c>
    </row>
    <row r="31" spans="1:24" x14ac:dyDescent="0.2">
      <c r="A31" s="17">
        <v>18</v>
      </c>
      <c r="B31" s="184" t="s">
        <v>892</v>
      </c>
      <c r="C31" s="417">
        <v>3862</v>
      </c>
      <c r="D31" s="531">
        <v>3862</v>
      </c>
      <c r="E31" s="419">
        <f t="shared" si="0"/>
        <v>231.72</v>
      </c>
      <c r="F31" s="416">
        <f t="shared" si="1"/>
        <v>347.58</v>
      </c>
      <c r="G31" s="419">
        <f t="shared" si="2"/>
        <v>579.29999999999995</v>
      </c>
      <c r="H31" s="416">
        <v>10.505040000000008</v>
      </c>
      <c r="I31" s="416">
        <v>-61.560900000000004</v>
      </c>
      <c r="J31" s="419">
        <f t="shared" si="3"/>
        <v>-51.055859999999996</v>
      </c>
      <c r="K31" s="416">
        <v>294.49105000000003</v>
      </c>
      <c r="L31" s="416">
        <v>92.688000000000002</v>
      </c>
      <c r="M31" s="419">
        <f t="shared" si="4"/>
        <v>387.17905000000002</v>
      </c>
      <c r="N31" s="416">
        <v>156.21</v>
      </c>
      <c r="O31" s="416">
        <v>310.31999999999994</v>
      </c>
      <c r="P31" s="419">
        <f t="shared" si="5"/>
        <v>466.53</v>
      </c>
      <c r="Q31" s="419">
        <f t="shared" si="6"/>
        <v>148.78609000000003</v>
      </c>
      <c r="R31" s="419">
        <f t="shared" si="7"/>
        <v>-279.19289999999995</v>
      </c>
      <c r="S31" s="419">
        <f t="shared" si="8"/>
        <v>-130.40680999999995</v>
      </c>
      <c r="T31" s="245" t="s">
        <v>928</v>
      </c>
      <c r="U31" s="531">
        <f t="shared" si="9"/>
        <v>3862</v>
      </c>
      <c r="V31" s="530">
        <f t="shared" si="10"/>
        <v>3862</v>
      </c>
      <c r="X31" s="425">
        <v>273.53198000000003</v>
      </c>
    </row>
    <row r="32" spans="1:24" ht="13.5" customHeight="1" x14ac:dyDescent="0.2">
      <c r="A32" s="17">
        <v>19</v>
      </c>
      <c r="B32" s="184" t="s">
        <v>893</v>
      </c>
      <c r="C32" s="417">
        <v>4640</v>
      </c>
      <c r="D32" s="531">
        <v>4640</v>
      </c>
      <c r="E32" s="419">
        <f t="shared" si="0"/>
        <v>278.39999999999998</v>
      </c>
      <c r="F32" s="416">
        <f t="shared" si="1"/>
        <v>417.6</v>
      </c>
      <c r="G32" s="419">
        <f t="shared" si="2"/>
        <v>696</v>
      </c>
      <c r="H32" s="416">
        <v>-55.70941000000002</v>
      </c>
      <c r="I32" s="416">
        <v>186.01780000000002</v>
      </c>
      <c r="J32" s="419">
        <f t="shared" si="3"/>
        <v>130.30839</v>
      </c>
      <c r="K32" s="416">
        <v>263.45728000000003</v>
      </c>
      <c r="L32" s="416">
        <v>74.239999999999995</v>
      </c>
      <c r="M32" s="419">
        <f t="shared" si="4"/>
        <v>337.69728000000003</v>
      </c>
      <c r="N32" s="416">
        <v>110.41800000000001</v>
      </c>
      <c r="O32" s="416">
        <v>296.55</v>
      </c>
      <c r="P32" s="419">
        <f t="shared" si="5"/>
        <v>406.96800000000002</v>
      </c>
      <c r="Q32" s="419">
        <f t="shared" si="6"/>
        <v>97.32987</v>
      </c>
      <c r="R32" s="419">
        <f t="shared" si="7"/>
        <v>-36.29219999999998</v>
      </c>
      <c r="S32" s="419">
        <f t="shared" si="8"/>
        <v>61.037669999999991</v>
      </c>
      <c r="T32" s="245" t="s">
        <v>928</v>
      </c>
      <c r="U32" s="531">
        <f t="shared" si="9"/>
        <v>4640</v>
      </c>
      <c r="V32" s="530">
        <f t="shared" si="10"/>
        <v>4640</v>
      </c>
      <c r="X32" s="425">
        <v>238.27600000000001</v>
      </c>
    </row>
    <row r="33" spans="1:24" x14ac:dyDescent="0.2">
      <c r="A33" s="17">
        <v>20</v>
      </c>
      <c r="B33" s="184" t="s">
        <v>894</v>
      </c>
      <c r="C33" s="417">
        <v>2237</v>
      </c>
      <c r="D33" s="531">
        <v>2202</v>
      </c>
      <c r="E33" s="419">
        <f t="shared" si="0"/>
        <v>134.22</v>
      </c>
      <c r="F33" s="416">
        <f t="shared" si="1"/>
        <v>201.33</v>
      </c>
      <c r="G33" s="419">
        <f t="shared" si="2"/>
        <v>335.55</v>
      </c>
      <c r="H33" s="416">
        <v>8.0721300000000156</v>
      </c>
      <c r="I33" s="416">
        <v>26.635499999999922</v>
      </c>
      <c r="J33" s="419">
        <f t="shared" si="3"/>
        <v>34.707629999999938</v>
      </c>
      <c r="K33" s="416">
        <v>151.16425000000001</v>
      </c>
      <c r="L33" s="416">
        <v>48.048000000000002</v>
      </c>
      <c r="M33" s="419">
        <f t="shared" si="4"/>
        <v>199.21225000000001</v>
      </c>
      <c r="N33" s="416">
        <v>103.61</v>
      </c>
      <c r="O33" s="416">
        <v>167.23</v>
      </c>
      <c r="P33" s="419">
        <f t="shared" si="5"/>
        <v>270.83999999999997</v>
      </c>
      <c r="Q33" s="419">
        <f t="shared" si="6"/>
        <v>55.626380000000026</v>
      </c>
      <c r="R33" s="419">
        <f t="shared" si="7"/>
        <v>-92.546500000000066</v>
      </c>
      <c r="S33" s="419">
        <f t="shared" si="8"/>
        <v>-36.920120000000026</v>
      </c>
      <c r="T33" s="245" t="s">
        <v>928</v>
      </c>
      <c r="U33" s="531">
        <f t="shared" si="9"/>
        <v>2202</v>
      </c>
      <c r="V33" s="530">
        <f t="shared" si="10"/>
        <v>2202</v>
      </c>
      <c r="X33" s="425">
        <v>139.214</v>
      </c>
    </row>
    <row r="34" spans="1:24" x14ac:dyDescent="0.2">
      <c r="A34" s="17">
        <v>21</v>
      </c>
      <c r="B34" s="184" t="s">
        <v>895</v>
      </c>
      <c r="C34" s="417">
        <v>3322</v>
      </c>
      <c r="D34" s="531">
        <v>3185</v>
      </c>
      <c r="E34" s="419">
        <f t="shared" si="0"/>
        <v>199.32</v>
      </c>
      <c r="F34" s="416">
        <f t="shared" si="1"/>
        <v>298.98</v>
      </c>
      <c r="G34" s="419">
        <f t="shared" si="2"/>
        <v>498.3</v>
      </c>
      <c r="H34" s="416">
        <v>-1.8946900000000539</v>
      </c>
      <c r="I34" s="416">
        <v>-70.444199999999995</v>
      </c>
      <c r="J34" s="419">
        <f t="shared" si="3"/>
        <v>-72.338890000000049</v>
      </c>
      <c r="K34" s="416">
        <v>222.345</v>
      </c>
      <c r="L34" s="416">
        <v>76.44</v>
      </c>
      <c r="M34" s="419">
        <f t="shared" si="4"/>
        <v>298.78499999999997</v>
      </c>
      <c r="N34" s="416">
        <v>68.52</v>
      </c>
      <c r="O34" s="416">
        <v>154.17000000000002</v>
      </c>
      <c r="P34" s="419">
        <f t="shared" si="5"/>
        <v>222.69</v>
      </c>
      <c r="Q34" s="419">
        <f t="shared" si="6"/>
        <v>151.93030999999996</v>
      </c>
      <c r="R34" s="419">
        <f t="shared" si="7"/>
        <v>-148.17420000000001</v>
      </c>
      <c r="S34" s="419">
        <f t="shared" si="8"/>
        <v>3.7561099999999215</v>
      </c>
      <c r="T34" s="245" t="s">
        <v>928</v>
      </c>
      <c r="U34" s="531">
        <f t="shared" si="9"/>
        <v>3185</v>
      </c>
      <c r="V34" s="530">
        <f t="shared" si="10"/>
        <v>3185</v>
      </c>
      <c r="X34" s="425">
        <v>205.06</v>
      </c>
    </row>
    <row r="35" spans="1:24" x14ac:dyDescent="0.2">
      <c r="A35" s="17">
        <v>22</v>
      </c>
      <c r="B35" s="184" t="s">
        <v>896</v>
      </c>
      <c r="C35" s="417">
        <v>2030</v>
      </c>
      <c r="D35" s="531">
        <v>2068</v>
      </c>
      <c r="E35" s="419">
        <f t="shared" si="0"/>
        <v>121.8</v>
      </c>
      <c r="F35" s="416">
        <f t="shared" si="1"/>
        <v>182.7</v>
      </c>
      <c r="G35" s="419">
        <f t="shared" si="2"/>
        <v>304.5</v>
      </c>
      <c r="H35" s="416">
        <v>-1.0260450000000105</v>
      </c>
      <c r="I35" s="416">
        <v>95.779899999999998</v>
      </c>
      <c r="J35" s="419">
        <f t="shared" si="3"/>
        <v>94.753854999999987</v>
      </c>
      <c r="K35" s="416">
        <v>135.12304</v>
      </c>
      <c r="L35" s="416">
        <v>49.392000000000003</v>
      </c>
      <c r="M35" s="419">
        <f t="shared" si="4"/>
        <v>184.51504</v>
      </c>
      <c r="N35" s="416">
        <v>93.37</v>
      </c>
      <c r="O35" s="416">
        <v>201.85</v>
      </c>
      <c r="P35" s="419">
        <f t="shared" si="5"/>
        <v>295.22000000000003</v>
      </c>
      <c r="Q35" s="419">
        <f t="shared" si="6"/>
        <v>40.726994999999988</v>
      </c>
      <c r="R35" s="419">
        <f t="shared" si="7"/>
        <v>-56.678100000000001</v>
      </c>
      <c r="S35" s="419">
        <f t="shared" si="8"/>
        <v>-15.951105000000041</v>
      </c>
      <c r="T35" s="245" t="s">
        <v>928</v>
      </c>
      <c r="U35" s="531">
        <f t="shared" si="9"/>
        <v>2068</v>
      </c>
      <c r="V35" s="530">
        <f t="shared" si="10"/>
        <v>2068</v>
      </c>
      <c r="X35" s="425">
        <v>123.89999999999999</v>
      </c>
    </row>
    <row r="36" spans="1:24" x14ac:dyDescent="0.2">
      <c r="A36" s="17">
        <v>23</v>
      </c>
      <c r="B36" s="184" t="s">
        <v>897</v>
      </c>
      <c r="C36" s="417">
        <v>3210</v>
      </c>
      <c r="D36" s="531">
        <v>3206</v>
      </c>
      <c r="E36" s="419">
        <f t="shared" si="0"/>
        <v>192.6</v>
      </c>
      <c r="F36" s="416">
        <f t="shared" si="1"/>
        <v>288.89999999999998</v>
      </c>
      <c r="G36" s="419">
        <f t="shared" si="2"/>
        <v>481.5</v>
      </c>
      <c r="H36" s="416">
        <v>40.917414999999977</v>
      </c>
      <c r="I36" s="416">
        <v>-118.03500000000003</v>
      </c>
      <c r="J36" s="419">
        <f t="shared" si="3"/>
        <v>-77.117585000000048</v>
      </c>
      <c r="K36" s="416">
        <v>220.19295999999997</v>
      </c>
      <c r="L36" s="416">
        <v>77.760000000000005</v>
      </c>
      <c r="M36" s="419">
        <f t="shared" si="4"/>
        <v>297.95295999999996</v>
      </c>
      <c r="N36" s="416">
        <v>194.39</v>
      </c>
      <c r="O36" s="416">
        <v>572.18999999999994</v>
      </c>
      <c r="P36" s="419">
        <f t="shared" si="5"/>
        <v>766.57999999999993</v>
      </c>
      <c r="Q36" s="419">
        <f t="shared" si="6"/>
        <v>66.72037499999999</v>
      </c>
      <c r="R36" s="419">
        <f t="shared" si="7"/>
        <v>-612.46499999999992</v>
      </c>
      <c r="S36" s="419">
        <f t="shared" si="8"/>
        <v>-545.74462500000004</v>
      </c>
      <c r="T36" s="245" t="s">
        <v>928</v>
      </c>
      <c r="U36" s="531">
        <f t="shared" si="9"/>
        <v>3206</v>
      </c>
      <c r="V36" s="530">
        <f t="shared" si="10"/>
        <v>3206</v>
      </c>
      <c r="X36" s="425">
        <v>202.79399999999998</v>
      </c>
    </row>
    <row r="37" spans="1:24" x14ac:dyDescent="0.2">
      <c r="A37" s="17">
        <v>24</v>
      </c>
      <c r="B37" s="184" t="s">
        <v>898</v>
      </c>
      <c r="C37" s="417">
        <v>4242</v>
      </c>
      <c r="D37" s="531">
        <v>4242</v>
      </c>
      <c r="E37" s="419">
        <f t="shared" si="0"/>
        <v>254.52</v>
      </c>
      <c r="F37" s="416">
        <f t="shared" si="1"/>
        <v>381.78</v>
      </c>
      <c r="G37" s="419">
        <f t="shared" si="2"/>
        <v>636.29999999999995</v>
      </c>
      <c r="H37" s="416">
        <v>3.421040000000005</v>
      </c>
      <c r="I37" s="416">
        <v>6.100000000003547E-3</v>
      </c>
      <c r="J37" s="419">
        <f t="shared" si="3"/>
        <v>3.4271400000000085</v>
      </c>
      <c r="K37" s="416">
        <v>312.59560999999997</v>
      </c>
      <c r="L37" s="416">
        <v>84.84</v>
      </c>
      <c r="M37" s="419">
        <f t="shared" si="4"/>
        <v>397.43561</v>
      </c>
      <c r="N37" s="416">
        <v>76.355999999999995</v>
      </c>
      <c r="O37" s="416">
        <v>414.59361999999999</v>
      </c>
      <c r="P37" s="419">
        <f t="shared" si="5"/>
        <v>490.94961999999998</v>
      </c>
      <c r="Q37" s="419">
        <f t="shared" si="6"/>
        <v>239.66064999999998</v>
      </c>
      <c r="R37" s="419">
        <f t="shared" si="7"/>
        <v>-329.74752000000001</v>
      </c>
      <c r="S37" s="419">
        <f t="shared" si="8"/>
        <v>-90.086869999999976</v>
      </c>
      <c r="T37" s="245" t="s">
        <v>928</v>
      </c>
      <c r="U37" s="531">
        <f t="shared" si="9"/>
        <v>4242</v>
      </c>
      <c r="V37" s="530">
        <f t="shared" si="10"/>
        <v>4242</v>
      </c>
      <c r="X37" s="425">
        <v>289.57427999999999</v>
      </c>
    </row>
    <row r="38" spans="1:24" s="14" customFormat="1" x14ac:dyDescent="0.2">
      <c r="A38" s="733" t="s">
        <v>15</v>
      </c>
      <c r="B38" s="735"/>
      <c r="C38" s="420">
        <f>SUM(C14:C37)</f>
        <v>81577</v>
      </c>
      <c r="D38" s="420">
        <f>SUM(D14:D37)</f>
        <v>79591</v>
      </c>
      <c r="E38" s="421">
        <f>SUM(E14:E37)</f>
        <v>4894.6200000000008</v>
      </c>
      <c r="F38" s="421">
        <f>SUM(F14:F37)</f>
        <v>7341.93</v>
      </c>
      <c r="G38" s="421">
        <f>SUM(E38:F38)</f>
        <v>12236.550000000001</v>
      </c>
      <c r="H38" s="421">
        <f>SUM(H14:H37)</f>
        <v>-518.70871000000011</v>
      </c>
      <c r="I38" s="421">
        <f>SUM(I14:I37)</f>
        <v>1005.1473530000005</v>
      </c>
      <c r="J38" s="421">
        <f>SUM(H38:I38)</f>
        <v>486.43864300000041</v>
      </c>
      <c r="K38" s="421">
        <f t="shared" ref="K38:P38" si="11">SUM(K14:K37)</f>
        <v>4894.6199900000011</v>
      </c>
      <c r="L38" s="421">
        <f t="shared" si="11"/>
        <v>1323.3439999999998</v>
      </c>
      <c r="M38" s="421">
        <f t="shared" si="11"/>
        <v>6217.9639899999984</v>
      </c>
      <c r="N38" s="421">
        <f t="shared" si="11"/>
        <v>3438.0980000000009</v>
      </c>
      <c r="O38" s="421">
        <f t="shared" si="11"/>
        <v>6180.7707299999993</v>
      </c>
      <c r="P38" s="421">
        <f t="shared" si="11"/>
        <v>9618.8687299999983</v>
      </c>
      <c r="Q38" s="421">
        <f>SUM(Q14:Q37)</f>
        <v>937.81327999999985</v>
      </c>
      <c r="R38" s="421">
        <f>SUM(R14:R37)</f>
        <v>-3852.2793769999989</v>
      </c>
      <c r="S38" s="421">
        <f>SUM(S14:S37)</f>
        <v>-2914.4660969999995</v>
      </c>
      <c r="T38" s="421"/>
      <c r="U38" s="603">
        <f>SUM(U14:U37)</f>
        <v>79591</v>
      </c>
      <c r="V38" s="603">
        <f>SUM(V14:V37)</f>
        <v>79591</v>
      </c>
      <c r="X38" s="300">
        <f>SUM(X14:X37)</f>
        <v>4462.6823899999999</v>
      </c>
    </row>
    <row r="40" spans="1:24" x14ac:dyDescent="0.2">
      <c r="B40" s="384"/>
      <c r="C40" s="708"/>
      <c r="D40" s="708">
        <f>D38/C38</f>
        <v>0.97565490272993616</v>
      </c>
      <c r="H40" s="385"/>
      <c r="I40" s="385"/>
      <c r="P40" s="708">
        <f>P38/G38</f>
        <v>0.78607685417866946</v>
      </c>
    </row>
    <row r="42" spans="1:24" x14ac:dyDescent="0.2">
      <c r="A42" s="670" t="s">
        <v>11</v>
      </c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69"/>
      <c r="O42" s="669"/>
      <c r="P42" s="758" t="s">
        <v>1107</v>
      </c>
      <c r="Q42" s="758"/>
      <c r="R42" s="669"/>
    </row>
    <row r="43" spans="1:24" ht="15.6" customHeight="1" x14ac:dyDescent="0.2">
      <c r="A43" s="758" t="s">
        <v>1108</v>
      </c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669"/>
      <c r="U43" s="14"/>
    </row>
    <row r="44" spans="1:24" ht="15.6" customHeight="1" x14ac:dyDescent="0.2">
      <c r="A44" s="758" t="s">
        <v>1111</v>
      </c>
      <c r="B44" s="758"/>
      <c r="C44" s="758"/>
      <c r="D44" s="758"/>
      <c r="E44" s="758"/>
      <c r="F44" s="758"/>
      <c r="G44" s="758"/>
      <c r="H44" s="758"/>
      <c r="I44" s="758"/>
      <c r="J44" s="758"/>
      <c r="K44" s="758"/>
      <c r="L44" s="758"/>
      <c r="M44" s="758"/>
      <c r="N44" s="758"/>
      <c r="O44" s="758"/>
      <c r="P44" s="758"/>
      <c r="Q44" s="758"/>
      <c r="R44" s="669"/>
    </row>
    <row r="45" spans="1:24" x14ac:dyDescent="0.2">
      <c r="A45" s="670"/>
      <c r="B45" s="670"/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69"/>
      <c r="O45" s="756" t="s">
        <v>1110</v>
      </c>
      <c r="P45" s="756"/>
      <c r="Q45" s="756"/>
      <c r="R45" s="756"/>
    </row>
  </sheetData>
  <mergeCells count="23">
    <mergeCell ref="A4:P4"/>
    <mergeCell ref="A3:Q3"/>
    <mergeCell ref="T11:T12"/>
    <mergeCell ref="E11:G11"/>
    <mergeCell ref="K11:M11"/>
    <mergeCell ref="B11:B12"/>
    <mergeCell ref="N11:P11"/>
    <mergeCell ref="U11:U12"/>
    <mergeCell ref="D11:D12"/>
    <mergeCell ref="P10:V10"/>
    <mergeCell ref="P42:Q42"/>
    <mergeCell ref="C11:C12"/>
    <mergeCell ref="Q11:S11"/>
    <mergeCell ref="A44:Q44"/>
    <mergeCell ref="O45:R45"/>
    <mergeCell ref="A43:Q43"/>
    <mergeCell ref="Q1:V1"/>
    <mergeCell ref="H11:J11"/>
    <mergeCell ref="A11:A12"/>
    <mergeCell ref="A8:S8"/>
    <mergeCell ref="A38:B38"/>
    <mergeCell ref="U9:V9"/>
    <mergeCell ref="V11:V12"/>
  </mergeCells>
  <printOptions horizontalCentered="1"/>
  <pageMargins left="0.70866141732283472" right="0.70866141732283472" top="0.23622047244094491" bottom="0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view="pageBreakPreview" topLeftCell="A10" zoomScale="70" zoomScaleNormal="80" zoomScaleSheetLayoutView="70" workbookViewId="0">
      <selection activeCell="A40" sqref="A40:Q44"/>
    </sheetView>
  </sheetViews>
  <sheetFormatPr defaultRowHeight="12.75" x14ac:dyDescent="0.2"/>
  <cols>
    <col min="2" max="2" width="15.28515625" bestFit="1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924" t="s">
        <v>196</v>
      </c>
      <c r="R1" s="924"/>
      <c r="S1" s="924"/>
      <c r="T1" s="924"/>
      <c r="U1" s="924"/>
      <c r="V1" s="924"/>
    </row>
    <row r="3" spans="1:22" ht="15" x14ac:dyDescent="0.2">
      <c r="A3" s="878" t="s">
        <v>0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</row>
    <row r="4" spans="1:22" ht="20.25" x14ac:dyDescent="0.3">
      <c r="A4" s="844" t="s">
        <v>694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40"/>
    </row>
    <row r="5" spans="1:22" ht="15.75" x14ac:dyDescent="0.25">
      <c r="A5" s="33" t="s">
        <v>1098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22" x14ac:dyDescent="0.2">
      <c r="A6" s="33"/>
      <c r="B6" s="33"/>
      <c r="C6" s="15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7" spans="1:22" ht="15.75" x14ac:dyDescent="0.25">
      <c r="A7" s="790" t="s">
        <v>841</v>
      </c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</row>
    <row r="8" spans="1:22" ht="15.75" x14ac:dyDescent="0.25">
      <c r="A8" s="4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927" t="s">
        <v>214</v>
      </c>
      <c r="Q8" s="927"/>
      <c r="R8" s="927"/>
      <c r="S8" s="927"/>
      <c r="T8" s="927"/>
      <c r="U8" s="927"/>
      <c r="V8" s="927"/>
    </row>
    <row r="9" spans="1:22" x14ac:dyDescent="0.2">
      <c r="P9" s="870" t="s">
        <v>773</v>
      </c>
      <c r="Q9" s="870"/>
      <c r="R9" s="870"/>
      <c r="S9" s="870"/>
      <c r="T9" s="870"/>
      <c r="U9" s="870"/>
      <c r="V9" s="870"/>
    </row>
    <row r="10" spans="1:22" ht="28.5" customHeight="1" x14ac:dyDescent="0.2">
      <c r="A10" s="925" t="s">
        <v>19</v>
      </c>
      <c r="B10" s="727" t="s">
        <v>194</v>
      </c>
      <c r="C10" s="727" t="s">
        <v>363</v>
      </c>
      <c r="D10" s="727" t="s">
        <v>468</v>
      </c>
      <c r="E10" s="793" t="s">
        <v>753</v>
      </c>
      <c r="F10" s="793"/>
      <c r="G10" s="793"/>
      <c r="H10" s="770" t="s">
        <v>784</v>
      </c>
      <c r="I10" s="771"/>
      <c r="J10" s="772"/>
      <c r="K10" s="916" t="s">
        <v>365</v>
      </c>
      <c r="L10" s="917"/>
      <c r="M10" s="918"/>
      <c r="N10" s="928" t="s">
        <v>148</v>
      </c>
      <c r="O10" s="929"/>
      <c r="P10" s="930"/>
      <c r="Q10" s="775" t="s">
        <v>785</v>
      </c>
      <c r="R10" s="775"/>
      <c r="S10" s="775"/>
      <c r="T10" s="727" t="s">
        <v>236</v>
      </c>
      <c r="U10" s="727" t="s">
        <v>417</v>
      </c>
      <c r="V10" s="727" t="s">
        <v>366</v>
      </c>
    </row>
    <row r="11" spans="1:22" ht="69" customHeight="1" x14ac:dyDescent="0.2">
      <c r="A11" s="926"/>
      <c r="B11" s="728"/>
      <c r="C11" s="728"/>
      <c r="D11" s="728"/>
      <c r="E11" s="5" t="s">
        <v>169</v>
      </c>
      <c r="F11" s="5" t="s">
        <v>195</v>
      </c>
      <c r="G11" s="5" t="s">
        <v>15</v>
      </c>
      <c r="H11" s="5" t="s">
        <v>169</v>
      </c>
      <c r="I11" s="5" t="s">
        <v>195</v>
      </c>
      <c r="J11" s="5" t="s">
        <v>15</v>
      </c>
      <c r="K11" s="5" t="s">
        <v>169</v>
      </c>
      <c r="L11" s="5" t="s">
        <v>195</v>
      </c>
      <c r="M11" s="5" t="s">
        <v>15</v>
      </c>
      <c r="N11" s="5" t="s">
        <v>169</v>
      </c>
      <c r="O11" s="5" t="s">
        <v>195</v>
      </c>
      <c r="P11" s="5" t="s">
        <v>15</v>
      </c>
      <c r="Q11" s="5" t="s">
        <v>224</v>
      </c>
      <c r="R11" s="5" t="s">
        <v>206</v>
      </c>
      <c r="S11" s="5" t="s">
        <v>207</v>
      </c>
      <c r="T11" s="728"/>
      <c r="U11" s="728"/>
      <c r="V11" s="728"/>
    </row>
    <row r="12" spans="1:22" x14ac:dyDescent="0.2">
      <c r="A12" s="151">
        <v>1</v>
      </c>
      <c r="B12" s="99">
        <v>2</v>
      </c>
      <c r="C12" s="8">
        <v>3</v>
      </c>
      <c r="D12" s="151">
        <v>4</v>
      </c>
      <c r="E12" s="99">
        <v>5</v>
      </c>
      <c r="F12" s="8">
        <v>6</v>
      </c>
      <c r="G12" s="151">
        <v>7</v>
      </c>
      <c r="H12" s="99">
        <v>8</v>
      </c>
      <c r="I12" s="8">
        <v>9</v>
      </c>
      <c r="J12" s="151">
        <v>10</v>
      </c>
      <c r="K12" s="99">
        <v>11</v>
      </c>
      <c r="L12" s="8">
        <v>12</v>
      </c>
      <c r="M12" s="151">
        <v>13</v>
      </c>
      <c r="N12" s="99">
        <v>14</v>
      </c>
      <c r="O12" s="8">
        <v>15</v>
      </c>
      <c r="P12" s="151">
        <v>16</v>
      </c>
      <c r="Q12" s="99">
        <v>17</v>
      </c>
      <c r="R12" s="8">
        <v>18</v>
      </c>
      <c r="S12" s="151">
        <v>19</v>
      </c>
      <c r="T12" s="99">
        <v>20</v>
      </c>
      <c r="U12" s="151">
        <v>21</v>
      </c>
      <c r="V12" s="99">
        <v>22</v>
      </c>
    </row>
    <row r="13" spans="1:22" x14ac:dyDescent="0.2">
      <c r="A13" s="17">
        <v>1</v>
      </c>
      <c r="B13" s="184" t="s">
        <v>875</v>
      </c>
      <c r="C13" s="932" t="s">
        <v>929</v>
      </c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4"/>
    </row>
    <row r="14" spans="1:22" x14ac:dyDescent="0.2">
      <c r="A14" s="17">
        <v>2</v>
      </c>
      <c r="B14" s="184" t="s">
        <v>876</v>
      </c>
      <c r="C14" s="935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7"/>
    </row>
    <row r="15" spans="1:22" x14ac:dyDescent="0.2">
      <c r="A15" s="17">
        <v>3</v>
      </c>
      <c r="B15" s="184" t="s">
        <v>877</v>
      </c>
      <c r="C15" s="935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/>
      <c r="R15" s="936"/>
      <c r="S15" s="936"/>
      <c r="T15" s="936"/>
      <c r="U15" s="936"/>
      <c r="V15" s="937"/>
    </row>
    <row r="16" spans="1:22" x14ac:dyDescent="0.2">
      <c r="A16" s="17">
        <v>4</v>
      </c>
      <c r="B16" s="184" t="s">
        <v>878</v>
      </c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7"/>
    </row>
    <row r="17" spans="1:22" x14ac:dyDescent="0.2">
      <c r="A17" s="17">
        <v>5</v>
      </c>
      <c r="B17" s="184" t="s">
        <v>879</v>
      </c>
      <c r="C17" s="935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7"/>
    </row>
    <row r="18" spans="1:22" x14ac:dyDescent="0.2">
      <c r="A18" s="17">
        <v>6</v>
      </c>
      <c r="B18" s="184" t="s">
        <v>880</v>
      </c>
      <c r="C18" s="935"/>
      <c r="D18" s="936"/>
      <c r="E18" s="936"/>
      <c r="F18" s="936"/>
      <c r="G18" s="936"/>
      <c r="H18" s="936"/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6"/>
      <c r="T18" s="936"/>
      <c r="U18" s="936"/>
      <c r="V18" s="937"/>
    </row>
    <row r="19" spans="1:22" x14ac:dyDescent="0.2">
      <c r="A19" s="17">
        <v>7</v>
      </c>
      <c r="B19" s="184" t="s">
        <v>881</v>
      </c>
      <c r="C19" s="935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7"/>
    </row>
    <row r="20" spans="1:22" x14ac:dyDescent="0.2">
      <c r="A20" s="17">
        <v>8</v>
      </c>
      <c r="B20" s="184" t="s">
        <v>882</v>
      </c>
      <c r="C20" s="935"/>
      <c r="D20" s="936"/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7"/>
    </row>
    <row r="21" spans="1:22" x14ac:dyDescent="0.2">
      <c r="A21" s="17">
        <v>9</v>
      </c>
      <c r="B21" s="184" t="s">
        <v>883</v>
      </c>
      <c r="C21" s="935"/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7"/>
    </row>
    <row r="22" spans="1:22" x14ac:dyDescent="0.2">
      <c r="A22" s="17">
        <v>10</v>
      </c>
      <c r="B22" s="184" t="s">
        <v>884</v>
      </c>
      <c r="C22" s="935"/>
      <c r="D22" s="9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6"/>
      <c r="T22" s="936"/>
      <c r="U22" s="936"/>
      <c r="V22" s="937"/>
    </row>
    <row r="23" spans="1:22" x14ac:dyDescent="0.2">
      <c r="A23" s="17">
        <v>11</v>
      </c>
      <c r="B23" s="184" t="s">
        <v>885</v>
      </c>
      <c r="C23" s="935"/>
      <c r="D23" s="936"/>
      <c r="E23" s="936"/>
      <c r="F23" s="936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6"/>
      <c r="T23" s="936"/>
      <c r="U23" s="936"/>
      <c r="V23" s="937"/>
    </row>
    <row r="24" spans="1:22" x14ac:dyDescent="0.2">
      <c r="A24" s="17">
        <v>12</v>
      </c>
      <c r="B24" s="241" t="s">
        <v>886</v>
      </c>
      <c r="C24" s="935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6"/>
      <c r="T24" s="936"/>
      <c r="U24" s="936"/>
      <c r="V24" s="937"/>
    </row>
    <row r="25" spans="1:22" x14ac:dyDescent="0.2">
      <c r="A25" s="17">
        <v>13</v>
      </c>
      <c r="B25" s="184" t="s">
        <v>887</v>
      </c>
      <c r="C25" s="935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7"/>
    </row>
    <row r="26" spans="1:22" x14ac:dyDescent="0.2">
      <c r="A26" s="17">
        <v>14</v>
      </c>
      <c r="B26" s="184" t="s">
        <v>888</v>
      </c>
      <c r="C26" s="935"/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936"/>
      <c r="U26" s="936"/>
      <c r="V26" s="937"/>
    </row>
    <row r="27" spans="1:22" x14ac:dyDescent="0.2">
      <c r="A27" s="17">
        <v>15</v>
      </c>
      <c r="B27" s="184" t="s">
        <v>889</v>
      </c>
      <c r="C27" s="935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7"/>
    </row>
    <row r="28" spans="1:22" x14ac:dyDescent="0.2">
      <c r="A28" s="17">
        <v>16</v>
      </c>
      <c r="B28" s="184" t="s">
        <v>890</v>
      </c>
      <c r="C28" s="935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7"/>
    </row>
    <row r="29" spans="1:22" ht="16.5" customHeight="1" x14ac:dyDescent="0.2">
      <c r="A29" s="17">
        <v>17</v>
      </c>
      <c r="B29" s="184" t="s">
        <v>891</v>
      </c>
      <c r="C29" s="935"/>
      <c r="D29" s="936"/>
      <c r="E29" s="936"/>
      <c r="F29" s="936"/>
      <c r="G29" s="936"/>
      <c r="H29" s="936"/>
      <c r="I29" s="936"/>
      <c r="J29" s="936"/>
      <c r="K29" s="936"/>
      <c r="L29" s="936"/>
      <c r="M29" s="936"/>
      <c r="N29" s="936"/>
      <c r="O29" s="936"/>
      <c r="P29" s="936"/>
      <c r="Q29" s="936"/>
      <c r="R29" s="936"/>
      <c r="S29" s="936"/>
      <c r="T29" s="936"/>
      <c r="U29" s="936"/>
      <c r="V29" s="937"/>
    </row>
    <row r="30" spans="1:22" x14ac:dyDescent="0.2">
      <c r="A30" s="17">
        <v>18</v>
      </c>
      <c r="B30" s="184" t="s">
        <v>892</v>
      </c>
      <c r="C30" s="935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7"/>
    </row>
    <row r="31" spans="1:22" x14ac:dyDescent="0.2">
      <c r="A31" s="17">
        <v>19</v>
      </c>
      <c r="B31" s="184" t="s">
        <v>893</v>
      </c>
      <c r="C31" s="935"/>
      <c r="D31" s="9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6"/>
      <c r="T31" s="936"/>
      <c r="U31" s="936"/>
      <c r="V31" s="937"/>
    </row>
    <row r="32" spans="1:22" x14ac:dyDescent="0.2">
      <c r="A32" s="17">
        <v>20</v>
      </c>
      <c r="B32" s="184" t="s">
        <v>894</v>
      </c>
      <c r="C32" s="935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7"/>
    </row>
    <row r="33" spans="1:22" x14ac:dyDescent="0.2">
      <c r="A33" s="17">
        <v>21</v>
      </c>
      <c r="B33" s="184" t="s">
        <v>895</v>
      </c>
      <c r="C33" s="935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6"/>
      <c r="P33" s="936"/>
      <c r="Q33" s="936"/>
      <c r="R33" s="936"/>
      <c r="S33" s="936"/>
      <c r="T33" s="936"/>
      <c r="U33" s="936"/>
      <c r="V33" s="937"/>
    </row>
    <row r="34" spans="1:22" x14ac:dyDescent="0.2">
      <c r="A34" s="17">
        <v>22</v>
      </c>
      <c r="B34" s="184" t="s">
        <v>896</v>
      </c>
      <c r="C34" s="935"/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6"/>
      <c r="U34" s="936"/>
      <c r="V34" s="937"/>
    </row>
    <row r="35" spans="1:22" x14ac:dyDescent="0.2">
      <c r="A35" s="17">
        <v>23</v>
      </c>
      <c r="B35" s="184" t="s">
        <v>897</v>
      </c>
      <c r="C35" s="935"/>
      <c r="D35" s="936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6"/>
      <c r="T35" s="936"/>
      <c r="U35" s="936"/>
      <c r="V35" s="937"/>
    </row>
    <row r="36" spans="1:22" x14ac:dyDescent="0.2">
      <c r="A36" s="17">
        <v>24</v>
      </c>
      <c r="B36" s="184" t="s">
        <v>898</v>
      </c>
      <c r="C36" s="935"/>
      <c r="D36" s="936"/>
      <c r="E36" s="936"/>
      <c r="F36" s="936"/>
      <c r="G36" s="936"/>
      <c r="H36" s="936"/>
      <c r="I36" s="936"/>
      <c r="J36" s="936"/>
      <c r="K36" s="936"/>
      <c r="L36" s="936"/>
      <c r="M36" s="936"/>
      <c r="N36" s="936"/>
      <c r="O36" s="936"/>
      <c r="P36" s="936"/>
      <c r="Q36" s="936"/>
      <c r="R36" s="936"/>
      <c r="S36" s="936"/>
      <c r="T36" s="936"/>
      <c r="U36" s="936"/>
      <c r="V36" s="937"/>
    </row>
    <row r="37" spans="1:22" x14ac:dyDescent="0.2">
      <c r="A37" s="733" t="s">
        <v>15</v>
      </c>
      <c r="B37" s="735"/>
      <c r="C37" s="938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9"/>
      <c r="R37" s="939"/>
      <c r="S37" s="939"/>
      <c r="T37" s="939"/>
      <c r="U37" s="939"/>
      <c r="V37" s="940"/>
    </row>
    <row r="41" spans="1:22" x14ac:dyDescent="0.2">
      <c r="A41" s="670" t="s">
        <v>11</v>
      </c>
      <c r="B41" s="670"/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1"/>
      <c r="O41" s="671"/>
      <c r="P41" s="758" t="s">
        <v>1107</v>
      </c>
      <c r="Q41" s="758"/>
    </row>
    <row r="42" spans="1:22" x14ac:dyDescent="0.2">
      <c r="A42" s="758" t="s">
        <v>1108</v>
      </c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567"/>
      <c r="S42" s="567"/>
      <c r="U42" s="14"/>
    </row>
    <row r="43" spans="1:22" x14ac:dyDescent="0.2">
      <c r="A43" s="758" t="s">
        <v>1111</v>
      </c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567"/>
      <c r="S43" s="567"/>
    </row>
    <row r="44" spans="1:22" x14ac:dyDescent="0.2">
      <c r="A44" s="669"/>
      <c r="B44" s="669"/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931" t="s">
        <v>1110</v>
      </c>
      <c r="P44" s="931"/>
      <c r="Q44" s="931"/>
      <c r="R44" s="567"/>
      <c r="S44" s="567"/>
    </row>
  </sheetData>
  <mergeCells count="24">
    <mergeCell ref="A43:Q43"/>
    <mergeCell ref="O44:Q44"/>
    <mergeCell ref="C10:C11"/>
    <mergeCell ref="P8:V8"/>
    <mergeCell ref="C13:V37"/>
    <mergeCell ref="A37:B37"/>
    <mergeCell ref="E10:G10"/>
    <mergeCell ref="H10:J10"/>
    <mergeCell ref="P41:Q41"/>
    <mergeCell ref="A42:Q42"/>
    <mergeCell ref="Q1:V1"/>
    <mergeCell ref="K10:M10"/>
    <mergeCell ref="N10:P10"/>
    <mergeCell ref="Q10:S10"/>
    <mergeCell ref="A3:Q3"/>
    <mergeCell ref="A4:P4"/>
    <mergeCell ref="A7:S7"/>
    <mergeCell ref="P9:V9"/>
    <mergeCell ref="V10:V11"/>
    <mergeCell ref="D10:D11"/>
    <mergeCell ref="U10:U11"/>
    <mergeCell ref="T10:T11"/>
    <mergeCell ref="A10:A11"/>
    <mergeCell ref="B10:B11"/>
  </mergeCells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view="pageBreakPreview" topLeftCell="A10" zoomScale="85" zoomScaleNormal="100" zoomScaleSheetLayoutView="85" workbookViewId="0">
      <selection activeCell="C38" sqref="C38"/>
    </sheetView>
  </sheetViews>
  <sheetFormatPr defaultRowHeight="12.75" x14ac:dyDescent="0.2"/>
  <cols>
    <col min="1" max="1" width="9.140625" style="15"/>
    <col min="2" max="2" width="17.140625" style="15" customWidth="1"/>
    <col min="3" max="3" width="16.5703125" style="15" customWidth="1"/>
    <col min="4" max="4" width="15.85546875" style="15" customWidth="1"/>
    <col min="5" max="5" width="18.85546875" style="15" customWidth="1"/>
    <col min="6" max="6" width="19" style="15" customWidth="1"/>
    <col min="7" max="7" width="20.5703125" style="15" customWidth="1"/>
    <col min="8" max="8" width="20.140625" style="15" customWidth="1"/>
    <col min="9" max="9" width="22.85546875" style="15" customWidth="1"/>
    <col min="10" max="16384" width="9.140625" style="15"/>
  </cols>
  <sheetData>
    <row r="1" spans="1:22" customFormat="1" ht="15" x14ac:dyDescent="0.2">
      <c r="I1" s="38" t="s">
        <v>62</v>
      </c>
      <c r="J1" s="39"/>
    </row>
    <row r="2" spans="1:22" customFormat="1" ht="15" x14ac:dyDescent="0.2">
      <c r="D2" s="41" t="s">
        <v>0</v>
      </c>
      <c r="E2" s="41"/>
      <c r="F2" s="41"/>
      <c r="G2" s="41"/>
      <c r="H2" s="41"/>
      <c r="I2" s="41"/>
      <c r="J2" s="41"/>
    </row>
    <row r="3" spans="1:22" customFormat="1" ht="20.25" customHeight="1" x14ac:dyDescent="0.3">
      <c r="B3" s="153"/>
      <c r="C3" s="941" t="s">
        <v>694</v>
      </c>
      <c r="D3" s="941"/>
      <c r="E3" s="941"/>
      <c r="F3" s="941"/>
      <c r="G3" s="120"/>
      <c r="H3" s="120"/>
      <c r="I3" s="120"/>
      <c r="J3" s="40"/>
    </row>
    <row r="4" spans="1:22" customFormat="1" ht="10.5" customHeight="1" x14ac:dyDescent="0.2"/>
    <row r="5" spans="1:22" ht="30.75" customHeight="1" x14ac:dyDescent="0.2">
      <c r="A5" s="942" t="s">
        <v>754</v>
      </c>
      <c r="B5" s="942"/>
      <c r="C5" s="942"/>
      <c r="D5" s="942"/>
      <c r="E5" s="942"/>
      <c r="F5" s="942"/>
      <c r="G5" s="942"/>
      <c r="H5" s="942"/>
      <c r="I5" s="942"/>
    </row>
    <row r="8" spans="1:22" x14ac:dyDescent="0.2">
      <c r="A8" s="33" t="s">
        <v>1098</v>
      </c>
      <c r="I8" s="31" t="s">
        <v>18</v>
      </c>
    </row>
    <row r="9" spans="1:22" x14ac:dyDescent="0.2">
      <c r="D9" s="870" t="s">
        <v>773</v>
      </c>
      <c r="E9" s="870"/>
      <c r="F9" s="870"/>
      <c r="G9" s="870"/>
      <c r="H9" s="870"/>
      <c r="I9" s="870"/>
      <c r="U9" s="18"/>
      <c r="V9" s="20"/>
    </row>
    <row r="10" spans="1:22" ht="53.25" customHeight="1" x14ac:dyDescent="0.2">
      <c r="A10" s="5" t="s">
        <v>1</v>
      </c>
      <c r="B10" s="5" t="s">
        <v>2</v>
      </c>
      <c r="C10" s="2" t="s">
        <v>753</v>
      </c>
      <c r="D10" s="2" t="s">
        <v>787</v>
      </c>
      <c r="E10" s="2" t="s">
        <v>108</v>
      </c>
      <c r="F10" s="5" t="s">
        <v>217</v>
      </c>
      <c r="G10" s="2" t="s">
        <v>854</v>
      </c>
      <c r="H10" s="2" t="s">
        <v>148</v>
      </c>
      <c r="I10" s="32" t="s">
        <v>786</v>
      </c>
    </row>
    <row r="11" spans="1:22" s="20" customFormat="1" x14ac:dyDescent="0.2">
      <c r="A11" s="62">
        <v>1</v>
      </c>
      <c r="B11" s="5">
        <v>2</v>
      </c>
      <c r="C11" s="62">
        <v>3</v>
      </c>
      <c r="D11" s="5">
        <v>4</v>
      </c>
      <c r="E11" s="62">
        <v>5</v>
      </c>
      <c r="F11" s="5">
        <v>6</v>
      </c>
      <c r="G11" s="62">
        <v>7</v>
      </c>
      <c r="H11" s="5">
        <v>8</v>
      </c>
      <c r="I11" s="62">
        <v>9</v>
      </c>
    </row>
    <row r="12" spans="1:22" s="107" customFormat="1" x14ac:dyDescent="0.2">
      <c r="A12" s="17">
        <v>1</v>
      </c>
      <c r="B12" s="184" t="s">
        <v>875</v>
      </c>
      <c r="C12" s="422">
        <v>41.921868749999994</v>
      </c>
      <c r="D12" s="415">
        <v>14.261472831999995</v>
      </c>
      <c r="E12" s="422">
        <v>27.66187</v>
      </c>
      <c r="F12" s="415">
        <v>0</v>
      </c>
      <c r="G12" s="422">
        <v>750</v>
      </c>
      <c r="H12" s="415">
        <v>41.923342831999996</v>
      </c>
      <c r="I12" s="422">
        <f>D12+E12+F12-H12</f>
        <v>0</v>
      </c>
      <c r="K12" s="424"/>
      <c r="L12" s="424"/>
      <c r="M12" s="424"/>
      <c r="O12" s="424"/>
    </row>
    <row r="13" spans="1:22" s="107" customFormat="1" x14ac:dyDescent="0.2">
      <c r="A13" s="17">
        <v>2</v>
      </c>
      <c r="B13" s="184" t="s">
        <v>876</v>
      </c>
      <c r="C13" s="422">
        <v>14.836521000000001</v>
      </c>
      <c r="D13" s="415">
        <v>-4.6037235840000008</v>
      </c>
      <c r="E13" s="422">
        <v>14.83653</v>
      </c>
      <c r="F13" s="415">
        <v>0</v>
      </c>
      <c r="G13" s="422">
        <v>750</v>
      </c>
      <c r="H13" s="415">
        <v>10.232806415999999</v>
      </c>
      <c r="I13" s="422">
        <f t="shared" ref="I13:I35" si="0">D13+E13+F13-H13</f>
        <v>0</v>
      </c>
      <c r="K13" s="424"/>
      <c r="L13" s="424"/>
      <c r="M13" s="424"/>
      <c r="O13" s="424"/>
    </row>
    <row r="14" spans="1:22" s="107" customFormat="1" x14ac:dyDescent="0.2">
      <c r="A14" s="17">
        <v>3</v>
      </c>
      <c r="B14" s="184" t="s">
        <v>877</v>
      </c>
      <c r="C14" s="422">
        <v>11.2953165</v>
      </c>
      <c r="D14" s="415">
        <v>2.9976405120000003</v>
      </c>
      <c r="E14" s="422">
        <v>8.2953200000000002</v>
      </c>
      <c r="F14" s="415">
        <v>0</v>
      </c>
      <c r="G14" s="422">
        <v>750</v>
      </c>
      <c r="H14" s="415">
        <v>11.292960512000001</v>
      </c>
      <c r="I14" s="422">
        <f t="shared" si="0"/>
        <v>0</v>
      </c>
      <c r="K14" s="424"/>
      <c r="L14" s="424"/>
      <c r="M14" s="424"/>
      <c r="O14" s="424"/>
    </row>
    <row r="15" spans="1:22" s="107" customFormat="1" x14ac:dyDescent="0.2">
      <c r="A15" s="17">
        <v>4</v>
      </c>
      <c r="B15" s="184" t="s">
        <v>878</v>
      </c>
      <c r="C15" s="422">
        <v>30.621255750000003</v>
      </c>
      <c r="D15" s="415">
        <v>-8.0454937599999852</v>
      </c>
      <c r="E15" s="422">
        <v>30.621259999999999</v>
      </c>
      <c r="F15" s="415">
        <v>0</v>
      </c>
      <c r="G15" s="422">
        <v>750</v>
      </c>
      <c r="H15" s="415">
        <v>22.575766240000014</v>
      </c>
      <c r="I15" s="422">
        <f t="shared" si="0"/>
        <v>0</v>
      </c>
      <c r="K15" s="424"/>
      <c r="L15" s="424"/>
      <c r="M15" s="424"/>
      <c r="O15" s="424"/>
    </row>
    <row r="16" spans="1:22" s="107" customFormat="1" x14ac:dyDescent="0.2">
      <c r="A16" s="17">
        <v>5</v>
      </c>
      <c r="B16" s="184" t="s">
        <v>879</v>
      </c>
      <c r="C16" s="422">
        <v>16.386905250000002</v>
      </c>
      <c r="D16" s="415">
        <v>2.7129468160000005</v>
      </c>
      <c r="E16" s="422">
        <v>13.676909999999999</v>
      </c>
      <c r="F16" s="415">
        <v>0</v>
      </c>
      <c r="G16" s="422">
        <v>750</v>
      </c>
      <c r="H16" s="415">
        <v>16.389856815999998</v>
      </c>
      <c r="I16" s="422">
        <f t="shared" si="0"/>
        <v>0</v>
      </c>
      <c r="K16" s="424"/>
      <c r="L16" s="424"/>
      <c r="M16" s="424"/>
      <c r="O16" s="424"/>
    </row>
    <row r="17" spans="1:15" s="107" customFormat="1" x14ac:dyDescent="0.2">
      <c r="A17" s="17">
        <v>6</v>
      </c>
      <c r="B17" s="184" t="s">
        <v>880</v>
      </c>
      <c r="C17" s="422">
        <v>28.51946925</v>
      </c>
      <c r="D17" s="415">
        <v>7.0829930720000007</v>
      </c>
      <c r="E17" s="422">
        <v>21.43947</v>
      </c>
      <c r="F17" s="415">
        <v>0</v>
      </c>
      <c r="G17" s="422">
        <v>750</v>
      </c>
      <c r="H17" s="415">
        <v>28.522463072000001</v>
      </c>
      <c r="I17" s="422">
        <f t="shared" si="0"/>
        <v>0</v>
      </c>
      <c r="K17" s="424"/>
      <c r="L17" s="424"/>
      <c r="M17" s="424"/>
      <c r="O17" s="424"/>
    </row>
    <row r="18" spans="1:15" s="107" customFormat="1" x14ac:dyDescent="0.2">
      <c r="A18" s="17">
        <v>7</v>
      </c>
      <c r="B18" s="184" t="s">
        <v>881</v>
      </c>
      <c r="C18" s="422">
        <v>23.593234500000001</v>
      </c>
      <c r="D18" s="415">
        <v>3.3287539840000022</v>
      </c>
      <c r="E18" s="422">
        <v>20.26323</v>
      </c>
      <c r="F18" s="415">
        <v>0</v>
      </c>
      <c r="G18" s="422">
        <v>750</v>
      </c>
      <c r="H18" s="415">
        <v>23.591983984000002</v>
      </c>
      <c r="I18" s="422">
        <f t="shared" si="0"/>
        <v>0</v>
      </c>
      <c r="K18" s="424"/>
      <c r="L18" s="424"/>
      <c r="M18" s="424"/>
      <c r="O18" s="424"/>
    </row>
    <row r="19" spans="1:15" s="107" customFormat="1" x14ac:dyDescent="0.2">
      <c r="A19" s="17">
        <v>8</v>
      </c>
      <c r="B19" s="184" t="s">
        <v>882</v>
      </c>
      <c r="C19" s="422">
        <v>40.380842250000001</v>
      </c>
      <c r="D19" s="415">
        <v>10.610329087999993</v>
      </c>
      <c r="E19" s="422">
        <v>29.77084</v>
      </c>
      <c r="F19" s="415">
        <v>0</v>
      </c>
      <c r="G19" s="422">
        <v>750</v>
      </c>
      <c r="H19" s="415">
        <v>40.381169087999993</v>
      </c>
      <c r="I19" s="422">
        <f t="shared" si="0"/>
        <v>0</v>
      </c>
      <c r="K19" s="424"/>
      <c r="L19" s="424"/>
      <c r="M19" s="424"/>
      <c r="O19" s="424"/>
    </row>
    <row r="20" spans="1:15" s="107" customFormat="1" x14ac:dyDescent="0.2">
      <c r="A20" s="17">
        <v>9</v>
      </c>
      <c r="B20" s="184" t="s">
        <v>883</v>
      </c>
      <c r="C20" s="422">
        <v>59.877578999999997</v>
      </c>
      <c r="D20" s="415">
        <v>16.624608895999998</v>
      </c>
      <c r="E20" s="422">
        <v>43.257580000000004</v>
      </c>
      <c r="F20" s="415">
        <v>0</v>
      </c>
      <c r="G20" s="422">
        <v>750</v>
      </c>
      <c r="H20" s="415">
        <v>59.882188896000002</v>
      </c>
      <c r="I20" s="422">
        <f t="shared" si="0"/>
        <v>0</v>
      </c>
      <c r="K20" s="424"/>
      <c r="L20" s="424"/>
      <c r="M20" s="424"/>
      <c r="O20" s="424"/>
    </row>
    <row r="21" spans="1:15" s="107" customFormat="1" x14ac:dyDescent="0.2">
      <c r="A21" s="17">
        <v>10</v>
      </c>
      <c r="B21" s="184" t="s">
        <v>884</v>
      </c>
      <c r="C21" s="422">
        <v>19.52767875</v>
      </c>
      <c r="D21" s="415">
        <v>5.3261880960000028</v>
      </c>
      <c r="E21" s="422">
        <v>14.197680000000002</v>
      </c>
      <c r="F21" s="415">
        <v>0</v>
      </c>
      <c r="G21" s="422">
        <v>750</v>
      </c>
      <c r="H21" s="415">
        <v>19.523868096000005</v>
      </c>
      <c r="I21" s="422">
        <f t="shared" si="0"/>
        <v>0</v>
      </c>
      <c r="K21" s="424"/>
      <c r="L21" s="424"/>
      <c r="M21" s="424"/>
      <c r="O21" s="424"/>
    </row>
    <row r="22" spans="1:15" s="107" customFormat="1" x14ac:dyDescent="0.2">
      <c r="A22" s="17">
        <v>11</v>
      </c>
      <c r="B22" s="184" t="s">
        <v>885</v>
      </c>
      <c r="C22" s="422">
        <v>34.982382749999999</v>
      </c>
      <c r="D22" s="415">
        <v>4.2380415360000043</v>
      </c>
      <c r="E22" s="422">
        <v>30.742380000000001</v>
      </c>
      <c r="F22" s="415">
        <v>0</v>
      </c>
      <c r="G22" s="422">
        <v>750</v>
      </c>
      <c r="H22" s="415">
        <v>34.980421536000009</v>
      </c>
      <c r="I22" s="422">
        <f t="shared" si="0"/>
        <v>0</v>
      </c>
      <c r="K22" s="424"/>
      <c r="L22" s="424"/>
      <c r="M22" s="424"/>
      <c r="O22" s="424"/>
    </row>
    <row r="23" spans="1:15" s="107" customFormat="1" x14ac:dyDescent="0.2">
      <c r="A23" s="17">
        <v>12</v>
      </c>
      <c r="B23" s="241" t="s">
        <v>886</v>
      </c>
      <c r="C23" s="422">
        <v>33.807390750000003</v>
      </c>
      <c r="D23" s="415">
        <v>4.5563543679999974</v>
      </c>
      <c r="E23" s="422">
        <v>29.247390000000003</v>
      </c>
      <c r="F23" s="415">
        <v>0</v>
      </c>
      <c r="G23" s="422">
        <v>750</v>
      </c>
      <c r="H23" s="415">
        <v>33.803744367999997</v>
      </c>
      <c r="I23" s="422">
        <f t="shared" si="0"/>
        <v>0</v>
      </c>
      <c r="K23" s="424"/>
      <c r="L23" s="424"/>
      <c r="M23" s="424"/>
      <c r="O23" s="424"/>
    </row>
    <row r="24" spans="1:15" s="107" customFormat="1" x14ac:dyDescent="0.2">
      <c r="A24" s="17">
        <v>13</v>
      </c>
      <c r="B24" s="184" t="s">
        <v>887</v>
      </c>
      <c r="C24" s="422">
        <v>14.8565235</v>
      </c>
      <c r="D24" s="415">
        <v>3.2066256640000006</v>
      </c>
      <c r="E24" s="422">
        <v>11.646519999999999</v>
      </c>
      <c r="F24" s="415">
        <v>0</v>
      </c>
      <c r="G24" s="422">
        <v>750</v>
      </c>
      <c r="H24" s="415">
        <v>14.853145663999999</v>
      </c>
      <c r="I24" s="422">
        <f t="shared" si="0"/>
        <v>0</v>
      </c>
      <c r="K24" s="424"/>
      <c r="L24" s="424"/>
      <c r="M24" s="424"/>
      <c r="O24" s="424"/>
    </row>
    <row r="25" spans="1:15" s="107" customFormat="1" x14ac:dyDescent="0.2">
      <c r="A25" s="17">
        <v>14</v>
      </c>
      <c r="B25" s="184" t="s">
        <v>888</v>
      </c>
      <c r="C25" s="422">
        <v>21.336190500000001</v>
      </c>
      <c r="D25" s="415">
        <v>4.4767002239999982</v>
      </c>
      <c r="E25" s="422">
        <v>16.856189999999998</v>
      </c>
      <c r="F25" s="415">
        <v>0</v>
      </c>
      <c r="G25" s="422">
        <v>750</v>
      </c>
      <c r="H25" s="415">
        <v>21.332890223999996</v>
      </c>
      <c r="I25" s="422">
        <f t="shared" si="0"/>
        <v>0</v>
      </c>
      <c r="K25" s="424"/>
      <c r="L25" s="424"/>
      <c r="M25" s="424"/>
      <c r="O25" s="424"/>
    </row>
    <row r="26" spans="1:15" s="107" customFormat="1" x14ac:dyDescent="0.2">
      <c r="A26" s="17">
        <v>15</v>
      </c>
      <c r="B26" s="184" t="s">
        <v>889</v>
      </c>
      <c r="C26" s="422">
        <v>33.754123499999999</v>
      </c>
      <c r="D26" s="415">
        <v>3.1100449280000007</v>
      </c>
      <c r="E26" s="422">
        <v>29.030569999999997</v>
      </c>
      <c r="F26" s="415">
        <v>0</v>
      </c>
      <c r="G26" s="422">
        <v>750</v>
      </c>
      <c r="H26" s="415">
        <v>32.140614927999998</v>
      </c>
      <c r="I26" s="422">
        <f t="shared" si="0"/>
        <v>0</v>
      </c>
      <c r="K26" s="424"/>
      <c r="L26" s="424"/>
      <c r="M26" s="424"/>
      <c r="O26" s="424"/>
    </row>
    <row r="27" spans="1:15" x14ac:dyDescent="0.2">
      <c r="A27" s="17">
        <v>16</v>
      </c>
      <c r="B27" s="184" t="s">
        <v>890</v>
      </c>
      <c r="C27" s="416">
        <v>52.225098750000001</v>
      </c>
      <c r="D27" s="416">
        <v>10.971143855999998</v>
      </c>
      <c r="E27" s="422">
        <v>41.255099999999999</v>
      </c>
      <c r="F27" s="415">
        <v>0</v>
      </c>
      <c r="G27" s="422">
        <v>750</v>
      </c>
      <c r="H27" s="416">
        <v>52.226243855999996</v>
      </c>
      <c r="I27" s="422">
        <f t="shared" si="0"/>
        <v>0</v>
      </c>
      <c r="K27" s="388"/>
      <c r="L27" s="424"/>
      <c r="M27" s="388"/>
      <c r="O27" s="424"/>
    </row>
    <row r="28" spans="1:15" x14ac:dyDescent="0.2">
      <c r="A28" s="17">
        <v>17</v>
      </c>
      <c r="B28" s="184" t="s">
        <v>891</v>
      </c>
      <c r="C28" s="416">
        <v>37.292756249999996</v>
      </c>
      <c r="D28" s="416">
        <v>4.3429128319999961</v>
      </c>
      <c r="E28" s="422">
        <v>32.952759999999998</v>
      </c>
      <c r="F28" s="415">
        <v>0</v>
      </c>
      <c r="G28" s="422">
        <v>750</v>
      </c>
      <c r="H28" s="416">
        <v>37.295672831999994</v>
      </c>
      <c r="I28" s="422">
        <f t="shared" si="0"/>
        <v>0</v>
      </c>
      <c r="K28" s="388"/>
      <c r="L28" s="424"/>
      <c r="M28" s="388"/>
      <c r="O28" s="424"/>
    </row>
    <row r="29" spans="1:15" x14ac:dyDescent="0.2">
      <c r="A29" s="17">
        <v>18</v>
      </c>
      <c r="B29" s="184" t="s">
        <v>892</v>
      </c>
      <c r="C29" s="416">
        <v>30.910053750000003</v>
      </c>
      <c r="D29" s="416">
        <v>3.5890023679999992</v>
      </c>
      <c r="E29" s="422">
        <v>27.320050000000002</v>
      </c>
      <c r="F29" s="415">
        <v>0</v>
      </c>
      <c r="G29" s="422">
        <v>750</v>
      </c>
      <c r="H29" s="416">
        <v>30.909052368000001</v>
      </c>
      <c r="I29" s="422">
        <f t="shared" si="0"/>
        <v>0</v>
      </c>
      <c r="K29" s="388"/>
      <c r="L29" s="424"/>
      <c r="M29" s="388"/>
      <c r="O29" s="424"/>
    </row>
    <row r="30" spans="1:15" x14ac:dyDescent="0.2">
      <c r="A30" s="17">
        <v>19</v>
      </c>
      <c r="B30" s="184" t="s">
        <v>893</v>
      </c>
      <c r="C30" s="416">
        <v>28.123493249999996</v>
      </c>
      <c r="D30" s="416">
        <v>1.2581219200000042</v>
      </c>
      <c r="E30" s="422">
        <v>26.863489999999999</v>
      </c>
      <c r="F30" s="415">
        <v>0</v>
      </c>
      <c r="G30" s="422">
        <v>750</v>
      </c>
      <c r="H30" s="416">
        <v>28.121611920000003</v>
      </c>
      <c r="I30" s="422">
        <f t="shared" si="0"/>
        <v>0</v>
      </c>
      <c r="K30" s="388"/>
      <c r="L30" s="424"/>
      <c r="M30" s="388"/>
      <c r="O30" s="424"/>
    </row>
    <row r="31" spans="1:15" x14ac:dyDescent="0.2">
      <c r="A31" s="17">
        <v>20</v>
      </c>
      <c r="B31" s="184" t="s">
        <v>894</v>
      </c>
      <c r="C31" s="416">
        <v>17.932527</v>
      </c>
      <c r="D31" s="416">
        <v>2.2496397439999996</v>
      </c>
      <c r="E31" s="422">
        <v>15.68253</v>
      </c>
      <c r="F31" s="415">
        <v>0</v>
      </c>
      <c r="G31" s="422">
        <v>750</v>
      </c>
      <c r="H31" s="416">
        <v>17.932169743999999</v>
      </c>
      <c r="I31" s="422">
        <f t="shared" si="0"/>
        <v>0</v>
      </c>
      <c r="K31" s="388"/>
      <c r="L31" s="424"/>
      <c r="M31" s="388"/>
      <c r="O31" s="424"/>
    </row>
    <row r="32" spans="1:15" x14ac:dyDescent="0.2">
      <c r="A32" s="17">
        <v>21</v>
      </c>
      <c r="B32" s="184" t="s">
        <v>895</v>
      </c>
      <c r="C32" s="416">
        <v>26.034374250000006</v>
      </c>
      <c r="D32" s="416">
        <v>2.4616775679999989</v>
      </c>
      <c r="E32" s="422">
        <v>23.574370000000002</v>
      </c>
      <c r="F32" s="415">
        <v>0</v>
      </c>
      <c r="G32" s="422">
        <v>750</v>
      </c>
      <c r="H32" s="416">
        <v>26.036047568000001</v>
      </c>
      <c r="I32" s="422">
        <f t="shared" si="0"/>
        <v>0</v>
      </c>
      <c r="K32" s="388"/>
      <c r="L32" s="424"/>
      <c r="M32" s="388"/>
      <c r="O32" s="424"/>
    </row>
    <row r="33" spans="1:15" x14ac:dyDescent="0.2">
      <c r="A33" s="17">
        <v>22</v>
      </c>
      <c r="B33" s="184" t="s">
        <v>896</v>
      </c>
      <c r="C33" s="416">
        <v>20.745663</v>
      </c>
      <c r="D33" s="416">
        <v>6.6040733440000015</v>
      </c>
      <c r="E33" s="422">
        <v>14.145659999999999</v>
      </c>
      <c r="F33" s="415">
        <v>0</v>
      </c>
      <c r="G33" s="422">
        <v>750</v>
      </c>
      <c r="H33" s="416">
        <v>20.749733343999999</v>
      </c>
      <c r="I33" s="422">
        <f t="shared" si="0"/>
        <v>0</v>
      </c>
      <c r="K33" s="388"/>
      <c r="L33" s="424"/>
      <c r="M33" s="388"/>
      <c r="O33" s="424"/>
    </row>
    <row r="34" spans="1:15" x14ac:dyDescent="0.2">
      <c r="A34" s="17">
        <v>23</v>
      </c>
      <c r="B34" s="184" t="s">
        <v>897</v>
      </c>
      <c r="C34" s="416">
        <v>31.662052500000001</v>
      </c>
      <c r="D34" s="416">
        <v>10.53836768</v>
      </c>
      <c r="E34" s="422">
        <v>21.122050000000002</v>
      </c>
      <c r="F34" s="415">
        <v>0</v>
      </c>
      <c r="G34" s="422">
        <v>750</v>
      </c>
      <c r="H34" s="416">
        <v>31.660417680000002</v>
      </c>
      <c r="I34" s="422">
        <f t="shared" si="0"/>
        <v>0</v>
      </c>
      <c r="K34" s="388"/>
      <c r="L34" s="424"/>
      <c r="M34" s="388"/>
      <c r="O34" s="424"/>
    </row>
    <row r="35" spans="1:15" x14ac:dyDescent="0.2">
      <c r="A35" s="17">
        <v>24</v>
      </c>
      <c r="B35" s="184" t="s">
        <v>898</v>
      </c>
      <c r="C35" s="416">
        <v>32.510253749999997</v>
      </c>
      <c r="D35" s="416">
        <v>8.0614789760000001</v>
      </c>
      <c r="E35" s="422">
        <v>24.45025</v>
      </c>
      <c r="F35" s="415">
        <v>0</v>
      </c>
      <c r="G35" s="422">
        <v>750</v>
      </c>
      <c r="H35" s="416">
        <v>32.511728976000001</v>
      </c>
      <c r="I35" s="422">
        <f t="shared" si="0"/>
        <v>0</v>
      </c>
      <c r="K35" s="388"/>
      <c r="L35" s="424"/>
      <c r="M35" s="388"/>
      <c r="O35" s="424"/>
    </row>
    <row r="36" spans="1:15" s="14" customFormat="1" x14ac:dyDescent="0.2">
      <c r="A36" s="733" t="s">
        <v>15</v>
      </c>
      <c r="B36" s="735"/>
      <c r="C36" s="421">
        <f>SUM(C12:C35)</f>
        <v>703.13355450000006</v>
      </c>
      <c r="D36" s="421">
        <f t="shared" ref="D36:I36" si="1">SUM(D12:D35)</f>
        <v>119.95990096000001</v>
      </c>
      <c r="E36" s="421">
        <f t="shared" si="1"/>
        <v>568.91</v>
      </c>
      <c r="F36" s="421">
        <f t="shared" si="1"/>
        <v>0</v>
      </c>
      <c r="G36" s="423">
        <v>750</v>
      </c>
      <c r="H36" s="421">
        <f t="shared" si="1"/>
        <v>688.86990095999988</v>
      </c>
      <c r="I36" s="421">
        <f t="shared" si="1"/>
        <v>0</v>
      </c>
      <c r="K36" s="300"/>
    </row>
    <row r="37" spans="1:15" s="14" customFormat="1" x14ac:dyDescent="0.2">
      <c r="A37" s="11"/>
      <c r="B37" s="11"/>
      <c r="C37" s="571"/>
      <c r="D37" s="571"/>
      <c r="E37" s="571"/>
      <c r="F37" s="571"/>
      <c r="G37" s="572"/>
      <c r="H37" s="571"/>
      <c r="I37" s="571"/>
      <c r="K37" s="300"/>
    </row>
    <row r="38" spans="1:15" s="14" customFormat="1" x14ac:dyDescent="0.2">
      <c r="A38" s="11"/>
      <c r="B38" s="11"/>
      <c r="C38" s="719">
        <f>H36/C36</f>
        <v>0.97971416177095527</v>
      </c>
      <c r="D38" s="571"/>
      <c r="E38" s="571"/>
      <c r="F38" s="571"/>
      <c r="G38" s="572"/>
      <c r="H38" s="571"/>
      <c r="I38" s="571"/>
      <c r="K38" s="300"/>
    </row>
    <row r="39" spans="1:15" s="14" customFormat="1" x14ac:dyDescent="0.2">
      <c r="A39" s="11"/>
      <c r="B39" s="11"/>
      <c r="C39" s="571"/>
      <c r="D39" s="571"/>
      <c r="E39" s="571"/>
      <c r="F39" s="571"/>
      <c r="G39" s="572"/>
      <c r="H39" s="571"/>
      <c r="I39" s="571"/>
      <c r="K39" s="300"/>
    </row>
    <row r="40" spans="1:15" x14ac:dyDescent="0.2">
      <c r="E40" s="29"/>
      <c r="F40" s="29"/>
      <c r="G40" s="29"/>
      <c r="H40" s="20"/>
      <c r="I40" s="20"/>
    </row>
    <row r="41" spans="1:15" x14ac:dyDescent="0.2">
      <c r="A41" s="679" t="s">
        <v>11</v>
      </c>
      <c r="B41" s="669"/>
      <c r="C41" s="669"/>
      <c r="D41" s="669"/>
      <c r="E41" s="679"/>
      <c r="F41" s="679"/>
      <c r="G41" s="679"/>
      <c r="H41" s="669"/>
      <c r="I41" s="757" t="s">
        <v>1107</v>
      </c>
      <c r="J41" s="757"/>
    </row>
    <row r="42" spans="1:15" ht="12.75" customHeight="1" x14ac:dyDescent="0.2">
      <c r="A42" s="567"/>
      <c r="B42" s="567"/>
      <c r="C42" s="567"/>
      <c r="E42" s="758" t="s">
        <v>1108</v>
      </c>
      <c r="F42" s="758"/>
      <c r="G42" s="758"/>
      <c r="H42" s="758"/>
      <c r="I42" s="758"/>
      <c r="J42" s="669"/>
      <c r="K42" s="669"/>
      <c r="L42" s="669"/>
    </row>
    <row r="43" spans="1:15" x14ac:dyDescent="0.2">
      <c r="A43" s="567"/>
      <c r="B43" s="567"/>
      <c r="C43" s="567"/>
      <c r="D43" s="448"/>
      <c r="E43" s="758" t="s">
        <v>1111</v>
      </c>
      <c r="F43" s="758"/>
      <c r="G43" s="758"/>
      <c r="H43" s="758"/>
      <c r="I43" s="758"/>
      <c r="J43" s="669"/>
      <c r="K43" s="669"/>
      <c r="L43" s="669"/>
    </row>
    <row r="44" spans="1:15" x14ac:dyDescent="0.2">
      <c r="A44" s="567"/>
      <c r="B44" s="567"/>
      <c r="C44" s="567"/>
      <c r="D44" s="448"/>
      <c r="E44" s="669"/>
      <c r="F44" s="669"/>
      <c r="G44" s="669"/>
      <c r="H44" s="669"/>
      <c r="I44" s="756" t="s">
        <v>1110</v>
      </c>
      <c r="J44" s="756"/>
      <c r="K44" s="756"/>
      <c r="L44" s="756"/>
    </row>
  </sheetData>
  <mergeCells count="8">
    <mergeCell ref="I44:L44"/>
    <mergeCell ref="E42:I42"/>
    <mergeCell ref="E43:I43"/>
    <mergeCell ref="I41:J41"/>
    <mergeCell ref="C3:F3"/>
    <mergeCell ref="D9:I9"/>
    <mergeCell ref="A5:I5"/>
    <mergeCell ref="A36:B3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view="pageBreakPreview" topLeftCell="A10" zoomScale="81" zoomScaleNormal="100" zoomScaleSheetLayoutView="81" workbookViewId="0">
      <selection activeCell="D28" sqref="D28"/>
    </sheetView>
  </sheetViews>
  <sheetFormatPr defaultRowHeight="12.75" x14ac:dyDescent="0.2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5.28515625" style="15" customWidth="1"/>
    <col min="8" max="8" width="23.7109375" style="15" customWidth="1"/>
    <col min="9" max="16384" width="9.140625" style="15"/>
  </cols>
  <sheetData>
    <row r="1" spans="1:20" customFormat="1" ht="15" x14ac:dyDescent="0.2">
      <c r="D1" s="33"/>
      <c r="E1" s="33"/>
      <c r="F1" s="33"/>
      <c r="G1" s="15"/>
      <c r="H1" s="38" t="s">
        <v>63</v>
      </c>
      <c r="I1" s="33"/>
      <c r="J1" s="15"/>
      <c r="L1" s="15"/>
      <c r="M1" s="39"/>
      <c r="N1" s="39"/>
    </row>
    <row r="2" spans="1:20" customFormat="1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41"/>
      <c r="J2" s="41"/>
      <c r="K2" s="41"/>
      <c r="L2" s="41"/>
      <c r="M2" s="41"/>
      <c r="N2" s="41"/>
    </row>
    <row r="3" spans="1:20" customFormat="1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40"/>
      <c r="J3" s="40"/>
      <c r="K3" s="40"/>
      <c r="L3" s="40"/>
      <c r="M3" s="40"/>
      <c r="N3" s="40"/>
    </row>
    <row r="4" spans="1:20" customFormat="1" ht="10.5" customHeight="1" x14ac:dyDescent="0.2"/>
    <row r="5" spans="1:20" ht="19.5" customHeight="1" x14ac:dyDescent="0.25">
      <c r="A5" s="790" t="s">
        <v>755</v>
      </c>
      <c r="B5" s="878"/>
      <c r="C5" s="878"/>
      <c r="D5" s="878"/>
      <c r="E5" s="878"/>
      <c r="F5" s="878"/>
      <c r="G5" s="878"/>
      <c r="H5" s="878"/>
      <c r="R5" s="20"/>
      <c r="S5" s="20"/>
      <c r="T5" s="20"/>
    </row>
    <row r="6" spans="1:20" x14ac:dyDescent="0.2">
      <c r="R6" s="20"/>
      <c r="S6" s="20"/>
      <c r="T6" s="20"/>
    </row>
    <row r="7" spans="1:20" s="13" customFormat="1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R7" s="116"/>
      <c r="S7" s="116"/>
      <c r="T7" s="116"/>
    </row>
    <row r="8" spans="1:20" s="13" customFormat="1" ht="15.75" x14ac:dyDescent="0.25">
      <c r="A8" s="33" t="s">
        <v>1098</v>
      </c>
      <c r="B8" s="33"/>
      <c r="C8" s="15"/>
      <c r="D8" s="15"/>
      <c r="E8" s="15"/>
      <c r="F8" s="15"/>
      <c r="G8" s="15"/>
      <c r="H8" s="31" t="s">
        <v>23</v>
      </c>
      <c r="I8" s="15"/>
      <c r="R8" s="116"/>
      <c r="S8" s="116"/>
      <c r="T8" s="116"/>
    </row>
    <row r="9" spans="1:20" s="13" customFormat="1" ht="15.75" x14ac:dyDescent="0.25">
      <c r="A9" s="14"/>
      <c r="B9" s="15"/>
      <c r="C9" s="15"/>
      <c r="D9" s="94"/>
      <c r="E9" s="94"/>
      <c r="G9" s="94" t="s">
        <v>769</v>
      </c>
      <c r="H9" s="94"/>
      <c r="J9" s="105"/>
      <c r="K9" s="105"/>
      <c r="L9" s="105"/>
      <c r="R9" s="116"/>
      <c r="S9" s="116"/>
      <c r="T9" s="116"/>
    </row>
    <row r="10" spans="1:20" s="34" customFormat="1" ht="55.5" customHeight="1" x14ac:dyDescent="0.2">
      <c r="A10" s="36"/>
      <c r="B10" s="5" t="s">
        <v>24</v>
      </c>
      <c r="C10" s="5" t="s">
        <v>756</v>
      </c>
      <c r="D10" s="5" t="s">
        <v>780</v>
      </c>
      <c r="E10" s="5" t="s">
        <v>216</v>
      </c>
      <c r="F10" s="5" t="s">
        <v>217</v>
      </c>
      <c r="G10" s="5" t="s">
        <v>69</v>
      </c>
      <c r="H10" s="5" t="s">
        <v>1071</v>
      </c>
      <c r="J10" s="398"/>
      <c r="K10" s="398"/>
      <c r="L10" s="398"/>
      <c r="R10" s="398"/>
      <c r="S10" s="398"/>
      <c r="T10" s="398"/>
    </row>
    <row r="11" spans="1:20" s="34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28" t="s">
        <v>25</v>
      </c>
      <c r="B12" s="28" t="s">
        <v>26</v>
      </c>
      <c r="C12" s="947">
        <v>295.16000000000003</v>
      </c>
      <c r="D12" s="947">
        <v>0</v>
      </c>
      <c r="E12" s="947">
        <v>244.4</v>
      </c>
      <c r="F12" s="947">
        <v>0</v>
      </c>
      <c r="G12" s="809">
        <f>D12+E12</f>
        <v>244.4</v>
      </c>
      <c r="H12" s="947">
        <f>D12+E12-G12</f>
        <v>0</v>
      </c>
    </row>
    <row r="13" spans="1:20" ht="20.25" customHeight="1" x14ac:dyDescent="0.2">
      <c r="A13" s="18"/>
      <c r="B13" s="18" t="s">
        <v>27</v>
      </c>
      <c r="C13" s="947"/>
      <c r="D13" s="947"/>
      <c r="E13" s="947"/>
      <c r="F13" s="947"/>
      <c r="G13" s="810"/>
      <c r="H13" s="947"/>
    </row>
    <row r="14" spans="1:20" ht="17.25" customHeight="1" x14ac:dyDescent="0.2">
      <c r="A14" s="18"/>
      <c r="B14" s="18" t="s">
        <v>181</v>
      </c>
      <c r="C14" s="947"/>
      <c r="D14" s="947"/>
      <c r="E14" s="947"/>
      <c r="F14" s="947"/>
      <c r="G14" s="810"/>
      <c r="H14" s="947"/>
    </row>
    <row r="15" spans="1:20" s="34" customFormat="1" ht="33.75" customHeight="1" x14ac:dyDescent="0.2">
      <c r="A15" s="35"/>
      <c r="B15" s="35" t="s">
        <v>182</v>
      </c>
      <c r="C15" s="947"/>
      <c r="D15" s="947"/>
      <c r="E15" s="947"/>
      <c r="F15" s="947"/>
      <c r="G15" s="811"/>
      <c r="H15" s="947"/>
    </row>
    <row r="16" spans="1:20" s="34" customFormat="1" x14ac:dyDescent="0.2">
      <c r="A16" s="35"/>
      <c r="B16" s="36" t="s">
        <v>28</v>
      </c>
      <c r="C16" s="553">
        <f>C12</f>
        <v>295.16000000000003</v>
      </c>
      <c r="D16" s="553">
        <f>SUM(D12)</f>
        <v>0</v>
      </c>
      <c r="E16" s="553">
        <f>SUM(E12)</f>
        <v>244.4</v>
      </c>
      <c r="F16" s="553">
        <v>0</v>
      </c>
      <c r="G16" s="553">
        <f>SUM(G12)</f>
        <v>244.4</v>
      </c>
      <c r="H16" s="553">
        <f>SUM(H12)</f>
        <v>0</v>
      </c>
    </row>
    <row r="17" spans="1:10" s="34" customFormat="1" ht="40.5" customHeight="1" x14ac:dyDescent="0.2">
      <c r="A17" s="36" t="s">
        <v>29</v>
      </c>
      <c r="B17" s="36" t="s">
        <v>215</v>
      </c>
      <c r="C17" s="943">
        <v>295.17</v>
      </c>
      <c r="D17" s="943">
        <v>23.2</v>
      </c>
      <c r="E17" s="943">
        <f>244.41+78.33</f>
        <v>322.74</v>
      </c>
      <c r="F17" s="943">
        <v>0</v>
      </c>
      <c r="G17" s="944">
        <f>D17+E17</f>
        <v>345.94</v>
      </c>
      <c r="H17" s="943">
        <f>D17+E17-G17</f>
        <v>0</v>
      </c>
    </row>
    <row r="18" spans="1:10" ht="28.5" customHeight="1" x14ac:dyDescent="0.2">
      <c r="A18" s="18"/>
      <c r="B18" s="144" t="s">
        <v>184</v>
      </c>
      <c r="C18" s="943"/>
      <c r="D18" s="943"/>
      <c r="E18" s="943"/>
      <c r="F18" s="943"/>
      <c r="G18" s="945"/>
      <c r="H18" s="943"/>
    </row>
    <row r="19" spans="1:10" ht="19.5" customHeight="1" x14ac:dyDescent="0.2">
      <c r="A19" s="18"/>
      <c r="B19" s="35" t="s">
        <v>30</v>
      </c>
      <c r="C19" s="943"/>
      <c r="D19" s="943"/>
      <c r="E19" s="943"/>
      <c r="F19" s="943"/>
      <c r="G19" s="945"/>
      <c r="H19" s="943"/>
    </row>
    <row r="20" spans="1:10" ht="21.75" customHeight="1" x14ac:dyDescent="0.2">
      <c r="A20" s="18"/>
      <c r="B20" s="35" t="s">
        <v>185</v>
      </c>
      <c r="C20" s="943"/>
      <c r="D20" s="943"/>
      <c r="E20" s="943"/>
      <c r="F20" s="943"/>
      <c r="G20" s="945"/>
      <c r="H20" s="943"/>
    </row>
    <row r="21" spans="1:10" s="34" customFormat="1" ht="27.75" customHeight="1" x14ac:dyDescent="0.2">
      <c r="A21" s="35"/>
      <c r="B21" s="35" t="s">
        <v>31</v>
      </c>
      <c r="C21" s="943"/>
      <c r="D21" s="943"/>
      <c r="E21" s="943"/>
      <c r="F21" s="943"/>
      <c r="G21" s="945"/>
      <c r="H21" s="943"/>
    </row>
    <row r="22" spans="1:10" s="34" customFormat="1" ht="19.5" customHeight="1" x14ac:dyDescent="0.2">
      <c r="A22" s="35"/>
      <c r="B22" s="35" t="s">
        <v>183</v>
      </c>
      <c r="C22" s="943"/>
      <c r="D22" s="943"/>
      <c r="E22" s="943"/>
      <c r="F22" s="943"/>
      <c r="G22" s="945"/>
      <c r="H22" s="943"/>
    </row>
    <row r="23" spans="1:10" s="34" customFormat="1" ht="27.75" customHeight="1" x14ac:dyDescent="0.2">
      <c r="A23" s="35"/>
      <c r="B23" s="35" t="s">
        <v>186</v>
      </c>
      <c r="C23" s="943"/>
      <c r="D23" s="943"/>
      <c r="E23" s="943"/>
      <c r="F23" s="943"/>
      <c r="G23" s="945"/>
      <c r="H23" s="943"/>
    </row>
    <row r="24" spans="1:10" s="34" customFormat="1" ht="18.75" customHeight="1" x14ac:dyDescent="0.2">
      <c r="A24" s="36"/>
      <c r="B24" s="35" t="s">
        <v>187</v>
      </c>
      <c r="C24" s="943"/>
      <c r="D24" s="943"/>
      <c r="E24" s="943"/>
      <c r="F24" s="943"/>
      <c r="G24" s="946"/>
      <c r="H24" s="943"/>
    </row>
    <row r="25" spans="1:10" s="34" customFormat="1" ht="19.5" customHeight="1" x14ac:dyDescent="0.2">
      <c r="A25" s="36"/>
      <c r="B25" s="36" t="s">
        <v>28</v>
      </c>
      <c r="C25" s="553">
        <f t="shared" ref="C25:H25" si="0">SUM(C17)</f>
        <v>295.17</v>
      </c>
      <c r="D25" s="553">
        <f t="shared" si="0"/>
        <v>23.2</v>
      </c>
      <c r="E25" s="553">
        <f t="shared" si="0"/>
        <v>322.74</v>
      </c>
      <c r="F25" s="553">
        <f t="shared" si="0"/>
        <v>0</v>
      </c>
      <c r="G25" s="553">
        <f t="shared" si="0"/>
        <v>345.94</v>
      </c>
      <c r="H25" s="553">
        <f t="shared" si="0"/>
        <v>0</v>
      </c>
    </row>
    <row r="26" spans="1:10" x14ac:dyDescent="0.2">
      <c r="A26" s="18"/>
      <c r="B26" s="28" t="s">
        <v>32</v>
      </c>
      <c r="C26" s="553">
        <f t="shared" ref="C26:H26" si="1">C16+C25</f>
        <v>590.33000000000004</v>
      </c>
      <c r="D26" s="553">
        <f t="shared" si="1"/>
        <v>23.2</v>
      </c>
      <c r="E26" s="553">
        <f t="shared" si="1"/>
        <v>567.14</v>
      </c>
      <c r="F26" s="553">
        <f t="shared" si="1"/>
        <v>0</v>
      </c>
      <c r="G26" s="553">
        <f t="shared" si="1"/>
        <v>590.34</v>
      </c>
      <c r="H26" s="553">
        <f t="shared" si="1"/>
        <v>0</v>
      </c>
    </row>
    <row r="27" spans="1:10" s="34" customFormat="1" ht="15.75" customHeight="1" x14ac:dyDescent="0.2"/>
    <row r="28" spans="1:10" s="34" customFormat="1" ht="15.75" customHeight="1" x14ac:dyDescent="0.2">
      <c r="C28" s="720">
        <f>G26/C26</f>
        <v>1.0000169396778074</v>
      </c>
    </row>
    <row r="29" spans="1:10" ht="13.15" customHeight="1" x14ac:dyDescent="0.2">
      <c r="A29" s="567"/>
      <c r="B29" s="567"/>
      <c r="C29" s="567"/>
      <c r="D29" s="567"/>
      <c r="E29" s="567"/>
      <c r="F29" s="567"/>
      <c r="G29" s="567"/>
      <c r="H29" s="567"/>
    </row>
    <row r="30" spans="1:10" ht="13.9" customHeight="1" x14ac:dyDescent="0.2">
      <c r="A30" s="669"/>
      <c r="B30" s="670" t="s">
        <v>11</v>
      </c>
      <c r="C30" s="670"/>
      <c r="D30" s="670"/>
      <c r="E30" s="670"/>
      <c r="F30" s="670"/>
      <c r="G30" s="757" t="s">
        <v>1107</v>
      </c>
      <c r="H30" s="757"/>
      <c r="I30" s="669"/>
      <c r="J30" s="669"/>
    </row>
    <row r="31" spans="1:10" ht="12.6" customHeight="1" x14ac:dyDescent="0.2">
      <c r="A31" s="669"/>
      <c r="B31" s="758" t="s">
        <v>1108</v>
      </c>
      <c r="C31" s="758"/>
      <c r="D31" s="758"/>
      <c r="E31" s="758"/>
      <c r="F31" s="758"/>
      <c r="G31" s="758"/>
      <c r="H31" s="758"/>
      <c r="I31" s="669"/>
      <c r="J31" s="669"/>
    </row>
    <row r="32" spans="1:10" x14ac:dyDescent="0.2">
      <c r="A32" s="669"/>
      <c r="B32" s="758" t="s">
        <v>1111</v>
      </c>
      <c r="C32" s="758"/>
      <c r="D32" s="758"/>
      <c r="E32" s="758"/>
      <c r="F32" s="758"/>
      <c r="G32" s="758"/>
      <c r="H32" s="758"/>
      <c r="I32" s="669"/>
      <c r="J32" s="669"/>
    </row>
    <row r="33" spans="1:10" x14ac:dyDescent="0.2">
      <c r="A33" s="669"/>
      <c r="B33" s="670"/>
      <c r="C33" s="670"/>
      <c r="D33" s="670"/>
      <c r="E33" s="670"/>
      <c r="F33" s="670"/>
      <c r="G33" s="756" t="s">
        <v>1110</v>
      </c>
      <c r="H33" s="756"/>
      <c r="I33" s="756"/>
      <c r="J33" s="756"/>
    </row>
    <row r="36" spans="1:10" x14ac:dyDescent="0.2">
      <c r="E36" s="388">
        <v>34.357289999999999</v>
      </c>
    </row>
    <row r="37" spans="1:10" x14ac:dyDescent="0.2">
      <c r="E37" s="388">
        <v>12.57349</v>
      </c>
    </row>
    <row r="38" spans="1:10" x14ac:dyDescent="0.2">
      <c r="E38" s="388">
        <v>11.3428</v>
      </c>
    </row>
    <row r="39" spans="1:10" x14ac:dyDescent="0.2">
      <c r="E39" s="388">
        <v>25.309480000000001</v>
      </c>
    </row>
    <row r="40" spans="1:10" x14ac:dyDescent="0.2">
      <c r="E40" s="388">
        <v>14.4512</v>
      </c>
    </row>
    <row r="41" spans="1:10" x14ac:dyDescent="0.2">
      <c r="E41" s="388">
        <v>22.149889999999999</v>
      </c>
    </row>
    <row r="42" spans="1:10" x14ac:dyDescent="0.2">
      <c r="E42" s="388">
        <v>18.292810000000003</v>
      </c>
    </row>
    <row r="43" spans="1:10" x14ac:dyDescent="0.2">
      <c r="E43" s="388">
        <v>29.054010000000002</v>
      </c>
    </row>
    <row r="44" spans="1:10" x14ac:dyDescent="0.2">
      <c r="E44" s="388">
        <v>37.87791</v>
      </c>
    </row>
    <row r="45" spans="1:10" x14ac:dyDescent="0.2">
      <c r="E45" s="388">
        <v>16.94312</v>
      </c>
    </row>
    <row r="46" spans="1:10" x14ac:dyDescent="0.2">
      <c r="E46" s="388">
        <v>27.262419999999999</v>
      </c>
    </row>
    <row r="47" spans="1:10" x14ac:dyDescent="0.2">
      <c r="E47" s="388">
        <v>27.588699999999999</v>
      </c>
    </row>
    <row r="48" spans="1:10" x14ac:dyDescent="0.2">
      <c r="E48" s="388">
        <v>11.62581</v>
      </c>
    </row>
    <row r="49" spans="5:5" x14ac:dyDescent="0.2">
      <c r="E49" s="388">
        <v>11.892769999999999</v>
      </c>
    </row>
    <row r="50" spans="5:5" x14ac:dyDescent="0.2">
      <c r="E50" s="388">
        <v>17.55894</v>
      </c>
    </row>
    <row r="51" spans="5:5" x14ac:dyDescent="0.2">
      <c r="E51" s="388">
        <v>32.173339999999996</v>
      </c>
    </row>
    <row r="52" spans="5:5" x14ac:dyDescent="0.2">
      <c r="E52" s="388">
        <v>20.381879999999999</v>
      </c>
    </row>
    <row r="53" spans="5:5" x14ac:dyDescent="0.2">
      <c r="E53" s="388">
        <v>19.280560000000001</v>
      </c>
    </row>
    <row r="54" spans="5:5" x14ac:dyDescent="0.2">
      <c r="E54" s="388">
        <v>24.031790000000001</v>
      </c>
    </row>
    <row r="55" spans="5:5" x14ac:dyDescent="0.2">
      <c r="E55" s="388">
        <v>13.33484</v>
      </c>
    </row>
    <row r="56" spans="5:5" x14ac:dyDescent="0.2">
      <c r="E56" s="388">
        <v>6.9595099999999999</v>
      </c>
    </row>
    <row r="57" spans="5:5" x14ac:dyDescent="0.2">
      <c r="E57" s="388">
        <v>15.909939999999999</v>
      </c>
    </row>
    <row r="58" spans="5:5" x14ac:dyDescent="0.2">
      <c r="E58" s="388">
        <v>15.45373</v>
      </c>
    </row>
    <row r="59" spans="5:5" x14ac:dyDescent="0.2">
      <c r="E59" s="388">
        <v>22.999890000000001</v>
      </c>
    </row>
    <row r="60" spans="5:5" x14ac:dyDescent="0.2">
      <c r="E60" s="300">
        <f>SUM(E36:E59)</f>
        <v>488.80612000000002</v>
      </c>
    </row>
  </sheetData>
  <mergeCells count="19">
    <mergeCell ref="G33:J33"/>
    <mergeCell ref="B32:H32"/>
    <mergeCell ref="B31:H31"/>
    <mergeCell ref="H12:H15"/>
    <mergeCell ref="A5:H5"/>
    <mergeCell ref="E12:E15"/>
    <mergeCell ref="D17:D24"/>
    <mergeCell ref="E17:E24"/>
    <mergeCell ref="G30:H30"/>
    <mergeCell ref="G12:G15"/>
    <mergeCell ref="F17:F24"/>
    <mergeCell ref="G17:G24"/>
    <mergeCell ref="A2:H2"/>
    <mergeCell ref="A3:H3"/>
    <mergeCell ref="C12:C15"/>
    <mergeCell ref="D12:D15"/>
    <mergeCell ref="F12:F15"/>
    <mergeCell ref="C17:C24"/>
    <mergeCell ref="H17:H2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topLeftCell="A16" zoomScale="85" zoomScaleNormal="100" zoomScaleSheetLayoutView="85" workbookViewId="0">
      <selection activeCell="J34" sqref="J34"/>
    </sheetView>
  </sheetViews>
  <sheetFormatPr defaultRowHeight="12.75" x14ac:dyDescent="0.2"/>
  <cols>
    <col min="1" max="1" width="9.140625" style="15"/>
    <col min="2" max="2" width="19.28515625" style="15" customWidth="1"/>
    <col min="3" max="3" width="28.42578125" style="15" customWidth="1"/>
    <col min="4" max="4" width="27.7109375" style="15" customWidth="1"/>
    <col min="5" max="5" width="30.28515625" style="15" customWidth="1"/>
    <col min="6" max="16384" width="9.140625" style="15"/>
  </cols>
  <sheetData>
    <row r="1" spans="1:18" customFormat="1" ht="15" x14ac:dyDescent="0.2">
      <c r="E1" s="38" t="s">
        <v>503</v>
      </c>
      <c r="F1" s="39"/>
    </row>
    <row r="2" spans="1:18" customFormat="1" ht="15" x14ac:dyDescent="0.2">
      <c r="D2" s="41" t="s">
        <v>0</v>
      </c>
      <c r="E2" s="41"/>
      <c r="F2" s="41"/>
    </row>
    <row r="3" spans="1:18" customFormat="1" ht="20.25" x14ac:dyDescent="0.3">
      <c r="B3" s="153"/>
      <c r="C3" s="789" t="s">
        <v>694</v>
      </c>
      <c r="D3" s="789"/>
      <c r="E3" s="789"/>
      <c r="F3" s="40"/>
    </row>
    <row r="4" spans="1:18" customFormat="1" ht="10.5" customHeight="1" x14ac:dyDescent="0.2"/>
    <row r="5" spans="1:18" ht="30.75" customHeight="1" x14ac:dyDescent="0.2">
      <c r="A5" s="942" t="s">
        <v>757</v>
      </c>
      <c r="B5" s="942"/>
      <c r="C5" s="942"/>
      <c r="D5" s="942"/>
      <c r="E5" s="942"/>
    </row>
    <row r="8" spans="1:18" x14ac:dyDescent="0.2">
      <c r="A8" s="1" t="s">
        <v>22</v>
      </c>
    </row>
    <row r="9" spans="1:18" x14ac:dyDescent="0.2">
      <c r="A9" s="33" t="s">
        <v>1098</v>
      </c>
      <c r="D9" s="872" t="s">
        <v>773</v>
      </c>
      <c r="E9" s="872"/>
      <c r="Q9" s="18"/>
      <c r="R9" s="20"/>
    </row>
    <row r="10" spans="1:18" ht="26.25" customHeight="1" x14ac:dyDescent="0.2">
      <c r="A10" s="775" t="s">
        <v>1</v>
      </c>
      <c r="B10" s="775" t="s">
        <v>2</v>
      </c>
      <c r="C10" s="948" t="s">
        <v>499</v>
      </c>
      <c r="D10" s="949"/>
      <c r="E10" s="950"/>
      <c r="Q10" s="20"/>
      <c r="R10" s="20"/>
    </row>
    <row r="11" spans="1:18" ht="56.25" customHeight="1" x14ac:dyDescent="0.2">
      <c r="A11" s="775"/>
      <c r="B11" s="775"/>
      <c r="C11" s="5" t="s">
        <v>501</v>
      </c>
      <c r="D11" s="5" t="s">
        <v>502</v>
      </c>
      <c r="E11" s="5" t="s">
        <v>500</v>
      </c>
    </row>
    <row r="12" spans="1:18" s="20" customFormat="1" x14ac:dyDescent="0.2">
      <c r="A12" s="62">
        <v>1</v>
      </c>
      <c r="B12" s="5">
        <v>2</v>
      </c>
      <c r="C12" s="62">
        <v>3</v>
      </c>
      <c r="D12" s="5">
        <v>4</v>
      </c>
      <c r="E12" s="62">
        <v>5</v>
      </c>
    </row>
    <row r="13" spans="1:18" s="20" customFormat="1" x14ac:dyDescent="0.2">
      <c r="A13" s="62">
        <v>1</v>
      </c>
      <c r="B13" s="184" t="s">
        <v>875</v>
      </c>
      <c r="C13" s="399">
        <v>6</v>
      </c>
      <c r="D13" s="386">
        <v>10</v>
      </c>
      <c r="E13" s="399">
        <f>'AT-3'!G9</f>
        <v>2177</v>
      </c>
    </row>
    <row r="14" spans="1:18" s="20" customFormat="1" x14ac:dyDescent="0.2">
      <c r="A14" s="62">
        <v>2</v>
      </c>
      <c r="B14" s="184" t="s">
        <v>876</v>
      </c>
      <c r="C14" s="399">
        <v>3</v>
      </c>
      <c r="D14" s="386">
        <v>7</v>
      </c>
      <c r="E14" s="399">
        <f>'AT-3'!G10</f>
        <v>868</v>
      </c>
    </row>
    <row r="15" spans="1:18" s="20" customFormat="1" x14ac:dyDescent="0.2">
      <c r="A15" s="62">
        <v>3</v>
      </c>
      <c r="B15" s="184" t="s">
        <v>877</v>
      </c>
      <c r="C15" s="399">
        <v>4</v>
      </c>
      <c r="D15" s="386">
        <v>3</v>
      </c>
      <c r="E15" s="399">
        <f>'AT-3'!G11</f>
        <v>491</v>
      </c>
    </row>
    <row r="16" spans="1:18" s="20" customFormat="1" x14ac:dyDescent="0.2">
      <c r="A16" s="62">
        <v>4</v>
      </c>
      <c r="B16" s="184" t="s">
        <v>878</v>
      </c>
      <c r="C16" s="399">
        <v>0</v>
      </c>
      <c r="D16" s="386">
        <v>3</v>
      </c>
      <c r="E16" s="399">
        <f>'AT-3'!G12</f>
        <v>1519</v>
      </c>
    </row>
    <row r="17" spans="1:5" s="20" customFormat="1" x14ac:dyDescent="0.2">
      <c r="A17" s="62">
        <v>5</v>
      </c>
      <c r="B17" s="184" t="s">
        <v>879</v>
      </c>
      <c r="C17" s="399">
        <v>0</v>
      </c>
      <c r="D17" s="386">
        <v>2</v>
      </c>
      <c r="E17" s="399">
        <f>'AT-3'!G13</f>
        <v>968</v>
      </c>
    </row>
    <row r="18" spans="1:5" s="20" customFormat="1" x14ac:dyDescent="0.2">
      <c r="A18" s="62">
        <v>6</v>
      </c>
      <c r="B18" s="184" t="s">
        <v>880</v>
      </c>
      <c r="C18" s="399">
        <v>3</v>
      </c>
      <c r="D18" s="386">
        <v>2</v>
      </c>
      <c r="E18" s="399">
        <f>'AT-3'!G14</f>
        <v>1620</v>
      </c>
    </row>
    <row r="19" spans="1:5" s="20" customFormat="1" x14ac:dyDescent="0.2">
      <c r="A19" s="62">
        <v>7</v>
      </c>
      <c r="B19" s="184" t="s">
        <v>881</v>
      </c>
      <c r="C19" s="399">
        <v>0</v>
      </c>
      <c r="D19" s="386">
        <v>2</v>
      </c>
      <c r="E19" s="399">
        <f>'AT-3'!G15</f>
        <v>1381</v>
      </c>
    </row>
    <row r="20" spans="1:5" s="20" customFormat="1" x14ac:dyDescent="0.2">
      <c r="A20" s="62">
        <v>8</v>
      </c>
      <c r="B20" s="184" t="s">
        <v>882</v>
      </c>
      <c r="C20" s="399">
        <v>0</v>
      </c>
      <c r="D20" s="386">
        <v>0</v>
      </c>
      <c r="E20" s="399">
        <f>'AT-3'!G16</f>
        <v>2066</v>
      </c>
    </row>
    <row r="21" spans="1:5" s="20" customFormat="1" x14ac:dyDescent="0.2">
      <c r="A21" s="62">
        <v>9</v>
      </c>
      <c r="B21" s="184" t="s">
        <v>883</v>
      </c>
      <c r="C21" s="399">
        <v>0</v>
      </c>
      <c r="D21" s="386">
        <v>1</v>
      </c>
      <c r="E21" s="399">
        <f>'AT-3'!G17</f>
        <v>2499</v>
      </c>
    </row>
    <row r="22" spans="1:5" s="20" customFormat="1" x14ac:dyDescent="0.2">
      <c r="A22" s="62">
        <v>10</v>
      </c>
      <c r="B22" s="184" t="s">
        <v>884</v>
      </c>
      <c r="C22" s="399">
        <v>0</v>
      </c>
      <c r="D22" s="386">
        <v>1</v>
      </c>
      <c r="E22" s="399">
        <f>'AT-3'!G18</f>
        <v>1037</v>
      </c>
    </row>
    <row r="23" spans="1:5" s="20" customFormat="1" x14ac:dyDescent="0.2">
      <c r="A23" s="62">
        <v>11</v>
      </c>
      <c r="B23" s="184" t="s">
        <v>885</v>
      </c>
      <c r="C23" s="399">
        <v>0</v>
      </c>
      <c r="D23" s="386">
        <v>1</v>
      </c>
      <c r="E23" s="399">
        <f>'AT-3'!G19</f>
        <v>1420</v>
      </c>
    </row>
    <row r="24" spans="1:5" s="20" customFormat="1" x14ac:dyDescent="0.2">
      <c r="A24" s="62">
        <v>12</v>
      </c>
      <c r="B24" s="241" t="s">
        <v>886</v>
      </c>
      <c r="C24" s="399">
        <v>4</v>
      </c>
      <c r="D24" s="386">
        <v>1</v>
      </c>
      <c r="E24" s="399">
        <f>'AT-3'!G20</f>
        <v>1479</v>
      </c>
    </row>
    <row r="25" spans="1:5" s="20" customFormat="1" x14ac:dyDescent="0.2">
      <c r="A25" s="62">
        <v>13</v>
      </c>
      <c r="B25" s="184" t="s">
        <v>887</v>
      </c>
      <c r="C25" s="399">
        <v>4</v>
      </c>
      <c r="D25" s="386">
        <v>0</v>
      </c>
      <c r="E25" s="399">
        <f>'AT-3'!G21</f>
        <v>587</v>
      </c>
    </row>
    <row r="26" spans="1:5" s="20" customFormat="1" x14ac:dyDescent="0.2">
      <c r="A26" s="62">
        <v>14</v>
      </c>
      <c r="B26" s="184" t="s">
        <v>888</v>
      </c>
      <c r="C26" s="399">
        <v>0</v>
      </c>
      <c r="D26" s="386">
        <v>1</v>
      </c>
      <c r="E26" s="399">
        <f>'AT-3'!G22</f>
        <v>659</v>
      </c>
    </row>
    <row r="27" spans="1:5" s="20" customFormat="1" x14ac:dyDescent="0.2">
      <c r="A27" s="62">
        <v>15</v>
      </c>
      <c r="B27" s="184" t="s">
        <v>889</v>
      </c>
      <c r="C27" s="399">
        <v>0</v>
      </c>
      <c r="D27" s="386">
        <v>1</v>
      </c>
      <c r="E27" s="399">
        <f>'AT-3'!G23</f>
        <v>1539</v>
      </c>
    </row>
    <row r="28" spans="1:5" x14ac:dyDescent="0.2">
      <c r="A28" s="62">
        <v>16</v>
      </c>
      <c r="B28" s="184" t="s">
        <v>890</v>
      </c>
      <c r="C28" s="17">
        <v>0</v>
      </c>
      <c r="D28" s="17">
        <v>1</v>
      </c>
      <c r="E28" s="399">
        <f>'AT-3'!G24</f>
        <v>3136</v>
      </c>
    </row>
    <row r="29" spans="1:5" x14ac:dyDescent="0.2">
      <c r="A29" s="62">
        <v>17</v>
      </c>
      <c r="B29" s="184" t="s">
        <v>891</v>
      </c>
      <c r="C29" s="17">
        <v>0</v>
      </c>
      <c r="D29" s="17">
        <v>1</v>
      </c>
      <c r="E29" s="399">
        <f>'AT-3'!G25</f>
        <v>1694</v>
      </c>
    </row>
    <row r="30" spans="1:5" x14ac:dyDescent="0.2">
      <c r="A30" s="62">
        <v>18</v>
      </c>
      <c r="B30" s="184" t="s">
        <v>892</v>
      </c>
      <c r="C30" s="17">
        <v>2</v>
      </c>
      <c r="D30" s="17">
        <v>3</v>
      </c>
      <c r="E30" s="399">
        <f>'AT-3'!G26</f>
        <v>1522</v>
      </c>
    </row>
    <row r="31" spans="1:5" x14ac:dyDescent="0.2">
      <c r="A31" s="62">
        <v>19</v>
      </c>
      <c r="B31" s="184" t="s">
        <v>893</v>
      </c>
      <c r="C31" s="17">
        <v>0</v>
      </c>
      <c r="D31" s="17">
        <v>0</v>
      </c>
      <c r="E31" s="399">
        <f>'AT-3'!G27</f>
        <v>2314</v>
      </c>
    </row>
    <row r="32" spans="1:5" x14ac:dyDescent="0.2">
      <c r="A32" s="62">
        <v>20</v>
      </c>
      <c r="B32" s="184" t="s">
        <v>894</v>
      </c>
      <c r="C32" s="400">
        <v>0</v>
      </c>
      <c r="D32" s="17">
        <v>0</v>
      </c>
      <c r="E32" s="399">
        <f>'AT-3'!G28</f>
        <v>1015</v>
      </c>
    </row>
    <row r="33" spans="1:6" x14ac:dyDescent="0.2">
      <c r="A33" s="62">
        <v>21</v>
      </c>
      <c r="B33" s="184" t="s">
        <v>895</v>
      </c>
      <c r="C33" s="17">
        <v>1</v>
      </c>
      <c r="D33" s="17">
        <v>1</v>
      </c>
      <c r="E33" s="399">
        <f>'AT-3'!G29</f>
        <v>1286</v>
      </c>
    </row>
    <row r="34" spans="1:6" x14ac:dyDescent="0.2">
      <c r="A34" s="62">
        <v>22</v>
      </c>
      <c r="B34" s="184" t="s">
        <v>896</v>
      </c>
      <c r="C34" s="17">
        <v>0</v>
      </c>
      <c r="D34" s="17">
        <v>0</v>
      </c>
      <c r="E34" s="399">
        <f>'AT-3'!G30</f>
        <v>1011</v>
      </c>
    </row>
    <row r="35" spans="1:6" x14ac:dyDescent="0.2">
      <c r="A35" s="62">
        <v>23</v>
      </c>
      <c r="B35" s="184" t="s">
        <v>897</v>
      </c>
      <c r="C35" s="17">
        <v>0</v>
      </c>
      <c r="D35" s="17">
        <v>2</v>
      </c>
      <c r="E35" s="399">
        <f>'AT-3'!G31</f>
        <v>1540</v>
      </c>
    </row>
    <row r="36" spans="1:6" x14ac:dyDescent="0.2">
      <c r="A36" s="62">
        <v>24</v>
      </c>
      <c r="B36" s="184" t="s">
        <v>898</v>
      </c>
      <c r="C36" s="17">
        <v>0</v>
      </c>
      <c r="D36" s="17">
        <v>1</v>
      </c>
      <c r="E36" s="399">
        <f>'AT-3'!G32</f>
        <v>1945</v>
      </c>
    </row>
    <row r="37" spans="1:6" x14ac:dyDescent="0.2">
      <c r="A37" s="733" t="s">
        <v>15</v>
      </c>
      <c r="B37" s="735"/>
      <c r="C37" s="3">
        <f>SUM(C13:C36)</f>
        <v>27</v>
      </c>
      <c r="D37" s="3">
        <f>SUM(D13:D36)</f>
        <v>44</v>
      </c>
      <c r="E37" s="3">
        <f>SUM(E13:E36)</f>
        <v>35773</v>
      </c>
    </row>
    <row r="38" spans="1:6" x14ac:dyDescent="0.2">
      <c r="E38" s="29"/>
    </row>
    <row r="39" spans="1:6" x14ac:dyDescent="0.2">
      <c r="E39" s="11"/>
    </row>
    <row r="40" spans="1:6" x14ac:dyDescent="0.2">
      <c r="A40" s="679" t="s">
        <v>11</v>
      </c>
      <c r="B40" s="669"/>
      <c r="C40" s="669"/>
      <c r="D40" s="669"/>
      <c r="E40" s="679" t="s">
        <v>1107</v>
      </c>
      <c r="F40" s="119"/>
    </row>
    <row r="41" spans="1:6" ht="12.75" customHeight="1" x14ac:dyDescent="0.2">
      <c r="A41" s="669"/>
      <c r="B41" s="669"/>
      <c r="C41" s="669"/>
      <c r="D41" s="757" t="s">
        <v>1108</v>
      </c>
      <c r="E41" s="757"/>
      <c r="F41" s="567"/>
    </row>
    <row r="42" spans="1:6" ht="12.75" customHeight="1" x14ac:dyDescent="0.2">
      <c r="A42" s="669"/>
      <c r="B42" s="669"/>
      <c r="C42" s="669"/>
      <c r="D42" s="757" t="s">
        <v>1111</v>
      </c>
      <c r="E42" s="757"/>
      <c r="F42" s="567"/>
    </row>
    <row r="43" spans="1:6" x14ac:dyDescent="0.2">
      <c r="A43" s="669"/>
      <c r="B43" s="669"/>
      <c r="C43" s="669"/>
      <c r="D43" s="669"/>
      <c r="E43" s="670" t="s">
        <v>1115</v>
      </c>
      <c r="F43" s="567"/>
    </row>
  </sheetData>
  <mergeCells count="9">
    <mergeCell ref="D41:E41"/>
    <mergeCell ref="D42:E42"/>
    <mergeCell ref="A37:B37"/>
    <mergeCell ref="C3:E3"/>
    <mergeCell ref="A5:E5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topLeftCell="A7" zoomScale="90" zoomScaleNormal="100" zoomScaleSheetLayoutView="90" workbookViewId="0">
      <selection activeCell="E41" sqref="E41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724"/>
      <c r="C4" s="724"/>
      <c r="D4" s="724"/>
      <c r="E4" s="724"/>
      <c r="F4" s="724"/>
      <c r="G4" s="724"/>
      <c r="H4" s="724"/>
    </row>
    <row r="5" spans="2:8" ht="12.75" customHeight="1" x14ac:dyDescent="0.2">
      <c r="B5" s="724"/>
      <c r="C5" s="724"/>
      <c r="D5" s="724"/>
      <c r="E5" s="724"/>
      <c r="F5" s="724"/>
      <c r="G5" s="724"/>
      <c r="H5" s="724"/>
    </row>
    <row r="6" spans="2:8" ht="12.75" customHeight="1" x14ac:dyDescent="0.2">
      <c r="B6" s="724"/>
      <c r="C6" s="724"/>
      <c r="D6" s="724"/>
      <c r="E6" s="724"/>
      <c r="F6" s="724"/>
      <c r="G6" s="724"/>
      <c r="H6" s="724"/>
    </row>
    <row r="7" spans="2:8" ht="12.75" customHeight="1" x14ac:dyDescent="0.2">
      <c r="B7" s="724"/>
      <c r="C7" s="724"/>
      <c r="D7" s="724"/>
      <c r="E7" s="724"/>
      <c r="F7" s="724"/>
      <c r="G7" s="724"/>
      <c r="H7" s="724"/>
    </row>
    <row r="8" spans="2:8" ht="12.75" customHeight="1" x14ac:dyDescent="0.2">
      <c r="B8" s="724"/>
      <c r="C8" s="724"/>
      <c r="D8" s="724"/>
      <c r="E8" s="724"/>
      <c r="F8" s="724"/>
      <c r="G8" s="724"/>
      <c r="H8" s="724"/>
    </row>
    <row r="9" spans="2:8" ht="12.75" customHeight="1" x14ac:dyDescent="0.2">
      <c r="B9" s="724"/>
      <c r="C9" s="724"/>
      <c r="D9" s="724"/>
      <c r="E9" s="724"/>
      <c r="F9" s="724"/>
      <c r="G9" s="724"/>
      <c r="H9" s="724"/>
    </row>
    <row r="10" spans="2:8" ht="12.75" customHeight="1" x14ac:dyDescent="0.2">
      <c r="B10" s="724"/>
      <c r="C10" s="724"/>
      <c r="D10" s="724"/>
      <c r="E10" s="724"/>
      <c r="F10" s="724"/>
      <c r="G10" s="724"/>
      <c r="H10" s="724"/>
    </row>
    <row r="11" spans="2:8" ht="12.75" customHeight="1" x14ac:dyDescent="0.2">
      <c r="B11" s="724"/>
      <c r="C11" s="724"/>
      <c r="D11" s="724"/>
      <c r="E11" s="724"/>
      <c r="F11" s="724"/>
      <c r="G11" s="724"/>
      <c r="H11" s="724"/>
    </row>
    <row r="12" spans="2:8" ht="12.75" customHeight="1" x14ac:dyDescent="0.2">
      <c r="B12" s="724"/>
      <c r="C12" s="724"/>
      <c r="D12" s="724"/>
      <c r="E12" s="724"/>
      <c r="F12" s="724"/>
      <c r="G12" s="724"/>
      <c r="H12" s="724"/>
    </row>
    <row r="13" spans="2:8" ht="12.75" customHeight="1" x14ac:dyDescent="0.2">
      <c r="B13" s="724"/>
      <c r="C13" s="724"/>
      <c r="D13" s="724"/>
      <c r="E13" s="724"/>
      <c r="F13" s="724"/>
      <c r="G13" s="724"/>
      <c r="H13" s="724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topLeftCell="A22" zoomScale="85" zoomScaleNormal="100" zoomScaleSheetLayoutView="85" workbookViewId="0">
      <selection activeCell="N17" sqref="N17"/>
    </sheetView>
  </sheetViews>
  <sheetFormatPr defaultRowHeight="12.75" x14ac:dyDescent="0.2"/>
  <cols>
    <col min="1" max="1" width="8.28515625" customWidth="1"/>
    <col min="2" max="2" width="14.85546875" bestFit="1" customWidth="1"/>
    <col min="3" max="3" width="24.425781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1" ht="18" x14ac:dyDescent="0.35">
      <c r="H1" s="951" t="s">
        <v>664</v>
      </c>
      <c r="I1" s="951"/>
    </row>
    <row r="2" spans="1:11" ht="18" x14ac:dyDescent="0.35">
      <c r="C2" s="867" t="s">
        <v>0</v>
      </c>
      <c r="D2" s="867"/>
      <c r="E2" s="867"/>
      <c r="F2" s="867"/>
      <c r="G2" s="867"/>
      <c r="H2" s="226"/>
      <c r="I2" s="209"/>
      <c r="J2" s="209"/>
    </row>
    <row r="3" spans="1:11" ht="21" x14ac:dyDescent="0.35">
      <c r="B3" s="868" t="s">
        <v>694</v>
      </c>
      <c r="C3" s="868"/>
      <c r="D3" s="868"/>
      <c r="E3" s="868"/>
      <c r="F3" s="868"/>
      <c r="G3" s="868"/>
      <c r="H3" s="210"/>
      <c r="I3" s="210"/>
      <c r="J3" s="210"/>
    </row>
    <row r="4" spans="1:11" ht="21" x14ac:dyDescent="0.35">
      <c r="C4" s="179"/>
      <c r="D4" s="179"/>
      <c r="E4" s="179"/>
      <c r="F4" s="179"/>
      <c r="G4" s="179"/>
      <c r="H4" s="179"/>
      <c r="I4" s="210"/>
      <c r="J4" s="210"/>
    </row>
    <row r="5" spans="1:11" ht="20.25" customHeight="1" x14ac:dyDescent="0.2">
      <c r="C5" s="952" t="s">
        <v>758</v>
      </c>
      <c r="D5" s="952"/>
      <c r="E5" s="952"/>
      <c r="F5" s="952"/>
      <c r="G5" s="952"/>
      <c r="H5" s="952"/>
    </row>
    <row r="6" spans="1:11" ht="20.25" customHeight="1" x14ac:dyDescent="0.2">
      <c r="A6" s="33" t="s">
        <v>1098</v>
      </c>
      <c r="C6" s="213"/>
      <c r="D6" s="213"/>
      <c r="E6" s="213"/>
      <c r="F6" s="213"/>
      <c r="G6" s="213"/>
      <c r="H6" s="954"/>
      <c r="I6" s="954"/>
    </row>
    <row r="7" spans="1:11" ht="15" customHeight="1" x14ac:dyDescent="0.2">
      <c r="A7" s="953" t="s">
        <v>70</v>
      </c>
      <c r="B7" s="953" t="s">
        <v>33</v>
      </c>
      <c r="C7" s="953" t="s">
        <v>404</v>
      </c>
      <c r="D7" s="953" t="s">
        <v>383</v>
      </c>
      <c r="E7" s="953" t="s">
        <v>382</v>
      </c>
      <c r="F7" s="953"/>
      <c r="G7" s="953"/>
      <c r="H7" s="953" t="s">
        <v>873</v>
      </c>
      <c r="I7" s="955" t="s">
        <v>408</v>
      </c>
    </row>
    <row r="8" spans="1:11" ht="12.75" customHeight="1" x14ac:dyDescent="0.2">
      <c r="A8" s="953"/>
      <c r="B8" s="953"/>
      <c r="C8" s="953"/>
      <c r="D8" s="953"/>
      <c r="E8" s="953" t="s">
        <v>405</v>
      </c>
      <c r="F8" s="955" t="s">
        <v>406</v>
      </c>
      <c r="G8" s="953" t="s">
        <v>407</v>
      </c>
      <c r="H8" s="953"/>
      <c r="I8" s="956"/>
    </row>
    <row r="9" spans="1:11" ht="20.25" customHeight="1" x14ac:dyDescent="0.2">
      <c r="A9" s="953"/>
      <c r="B9" s="953"/>
      <c r="C9" s="953"/>
      <c r="D9" s="953"/>
      <c r="E9" s="953"/>
      <c r="F9" s="956"/>
      <c r="G9" s="953"/>
      <c r="H9" s="953"/>
      <c r="I9" s="956"/>
    </row>
    <row r="10" spans="1:11" ht="63.75" customHeight="1" x14ac:dyDescent="0.2">
      <c r="A10" s="953"/>
      <c r="B10" s="953"/>
      <c r="C10" s="953"/>
      <c r="D10" s="953"/>
      <c r="E10" s="953"/>
      <c r="F10" s="957"/>
      <c r="G10" s="953"/>
      <c r="H10" s="953"/>
      <c r="I10" s="957"/>
    </row>
    <row r="11" spans="1:11" ht="15" x14ac:dyDescent="0.25">
      <c r="A11" s="215">
        <v>1</v>
      </c>
      <c r="B11" s="215">
        <v>2</v>
      </c>
      <c r="C11" s="216">
        <v>3</v>
      </c>
      <c r="D11" s="215">
        <v>4</v>
      </c>
      <c r="E11" s="215">
        <v>5</v>
      </c>
      <c r="F11" s="216">
        <v>6</v>
      </c>
      <c r="G11" s="215">
        <v>7</v>
      </c>
      <c r="H11" s="215">
        <v>8</v>
      </c>
      <c r="I11" s="216">
        <v>9</v>
      </c>
    </row>
    <row r="12" spans="1:11" ht="25.5" x14ac:dyDescent="0.25">
      <c r="A12" s="253">
        <v>1</v>
      </c>
      <c r="B12" s="184" t="s">
        <v>875</v>
      </c>
      <c r="C12" s="251" t="s">
        <v>938</v>
      </c>
      <c r="D12" s="252">
        <v>74</v>
      </c>
      <c r="E12" s="252" t="s">
        <v>939</v>
      </c>
      <c r="F12" s="252">
        <v>74</v>
      </c>
      <c r="G12" s="252"/>
      <c r="H12" s="252" t="s">
        <v>6</v>
      </c>
      <c r="I12" s="401">
        <f>D12*1250</f>
        <v>92500</v>
      </c>
      <c r="K12">
        <f>I12/D12</f>
        <v>1250</v>
      </c>
    </row>
    <row r="13" spans="1:11" ht="25.5" x14ac:dyDescent="0.25">
      <c r="A13" s="253">
        <v>2</v>
      </c>
      <c r="B13" s="184" t="s">
        <v>876</v>
      </c>
      <c r="C13" s="251" t="s">
        <v>938</v>
      </c>
      <c r="D13" s="252">
        <v>21</v>
      </c>
      <c r="E13" s="252" t="s">
        <v>939</v>
      </c>
      <c r="F13" s="252">
        <v>21</v>
      </c>
      <c r="G13" s="252" t="s">
        <v>6</v>
      </c>
      <c r="H13" s="252" t="s">
        <v>6</v>
      </c>
      <c r="I13" s="401">
        <f t="shared" ref="I13:I35" si="0">D13*1250</f>
        <v>26250</v>
      </c>
      <c r="K13">
        <f t="shared" ref="K13:K35" si="1">I13/D13</f>
        <v>1250</v>
      </c>
    </row>
    <row r="14" spans="1:11" ht="25.5" x14ac:dyDescent="0.25">
      <c r="A14" s="253">
        <v>3</v>
      </c>
      <c r="B14" s="184" t="s">
        <v>877</v>
      </c>
      <c r="C14" s="251" t="s">
        <v>938</v>
      </c>
      <c r="D14" s="252">
        <v>29</v>
      </c>
      <c r="E14" s="252" t="s">
        <v>939</v>
      </c>
      <c r="F14" s="252">
        <v>28</v>
      </c>
      <c r="G14" s="252">
        <v>1</v>
      </c>
      <c r="H14" s="252" t="s">
        <v>6</v>
      </c>
      <c r="I14" s="401">
        <f t="shared" si="0"/>
        <v>36250</v>
      </c>
      <c r="K14">
        <f t="shared" si="1"/>
        <v>1250</v>
      </c>
    </row>
    <row r="15" spans="1:11" ht="25.5" x14ac:dyDescent="0.25">
      <c r="A15" s="253">
        <v>4</v>
      </c>
      <c r="B15" s="184" t="s">
        <v>878</v>
      </c>
      <c r="C15" s="251" t="s">
        <v>938</v>
      </c>
      <c r="D15" s="252">
        <v>26</v>
      </c>
      <c r="E15" s="252" t="s">
        <v>939</v>
      </c>
      <c r="F15" s="252">
        <v>26</v>
      </c>
      <c r="G15" s="252" t="s">
        <v>6</v>
      </c>
      <c r="H15" s="252" t="s">
        <v>6</v>
      </c>
      <c r="I15" s="401">
        <f t="shared" si="0"/>
        <v>32500</v>
      </c>
      <c r="K15">
        <f t="shared" si="1"/>
        <v>1250</v>
      </c>
    </row>
    <row r="16" spans="1:11" ht="25.5" x14ac:dyDescent="0.25">
      <c r="A16" s="253">
        <v>5</v>
      </c>
      <c r="B16" s="184" t="s">
        <v>879</v>
      </c>
      <c r="C16" s="251" t="s">
        <v>938</v>
      </c>
      <c r="D16" s="252">
        <v>22</v>
      </c>
      <c r="E16" s="252" t="s">
        <v>939</v>
      </c>
      <c r="F16" s="252">
        <v>22</v>
      </c>
      <c r="G16" s="252" t="s">
        <v>6</v>
      </c>
      <c r="H16" s="252" t="s">
        <v>6</v>
      </c>
      <c r="I16" s="401">
        <f t="shared" si="0"/>
        <v>27500</v>
      </c>
      <c r="K16">
        <f t="shared" si="1"/>
        <v>1250</v>
      </c>
    </row>
    <row r="17" spans="1:11" ht="25.5" x14ac:dyDescent="0.25">
      <c r="A17" s="253">
        <v>6</v>
      </c>
      <c r="B17" s="184" t="s">
        <v>880</v>
      </c>
      <c r="C17" s="251" t="s">
        <v>938</v>
      </c>
      <c r="D17" s="252">
        <v>122</v>
      </c>
      <c r="E17" s="252" t="s">
        <v>939</v>
      </c>
      <c r="F17" s="252">
        <v>122</v>
      </c>
      <c r="G17" s="252" t="s">
        <v>6</v>
      </c>
      <c r="H17" s="252" t="s">
        <v>6</v>
      </c>
      <c r="I17" s="401">
        <f t="shared" si="0"/>
        <v>152500</v>
      </c>
      <c r="K17">
        <f t="shared" si="1"/>
        <v>1250</v>
      </c>
    </row>
    <row r="18" spans="1:11" ht="25.5" x14ac:dyDescent="0.25">
      <c r="A18" s="253">
        <v>7</v>
      </c>
      <c r="B18" s="184" t="s">
        <v>881</v>
      </c>
      <c r="C18" s="251" t="s">
        <v>938</v>
      </c>
      <c r="D18" s="252">
        <v>30</v>
      </c>
      <c r="E18" s="252" t="s">
        <v>939</v>
      </c>
      <c r="F18" s="252">
        <v>30</v>
      </c>
      <c r="G18" s="252" t="s">
        <v>6</v>
      </c>
      <c r="H18" s="252" t="s">
        <v>6</v>
      </c>
      <c r="I18" s="401">
        <f t="shared" si="0"/>
        <v>37500</v>
      </c>
      <c r="K18">
        <f t="shared" si="1"/>
        <v>1250</v>
      </c>
    </row>
    <row r="19" spans="1:11" ht="25.5" x14ac:dyDescent="0.25">
      <c r="A19" s="253">
        <v>8</v>
      </c>
      <c r="B19" s="184" t="s">
        <v>882</v>
      </c>
      <c r="C19" s="251" t="s">
        <v>938</v>
      </c>
      <c r="D19" s="252">
        <v>69</v>
      </c>
      <c r="E19" s="252" t="s">
        <v>939</v>
      </c>
      <c r="F19" s="252">
        <v>68</v>
      </c>
      <c r="G19" s="252">
        <v>1</v>
      </c>
      <c r="H19" s="252" t="s">
        <v>6</v>
      </c>
      <c r="I19" s="401">
        <f t="shared" si="0"/>
        <v>86250</v>
      </c>
      <c r="K19">
        <f t="shared" si="1"/>
        <v>1250</v>
      </c>
    </row>
    <row r="20" spans="1:11" ht="25.5" x14ac:dyDescent="0.25">
      <c r="A20" s="253">
        <v>9</v>
      </c>
      <c r="B20" s="184" t="s">
        <v>883</v>
      </c>
      <c r="C20" s="251" t="s">
        <v>938</v>
      </c>
      <c r="D20" s="252">
        <v>71</v>
      </c>
      <c r="E20" s="252" t="s">
        <v>939</v>
      </c>
      <c r="F20" s="252">
        <v>71</v>
      </c>
      <c r="G20" s="252" t="s">
        <v>6</v>
      </c>
      <c r="H20" s="252" t="s">
        <v>6</v>
      </c>
      <c r="I20" s="401">
        <f t="shared" si="0"/>
        <v>88750</v>
      </c>
      <c r="K20">
        <f t="shared" si="1"/>
        <v>1250</v>
      </c>
    </row>
    <row r="21" spans="1:11" ht="25.5" x14ac:dyDescent="0.25">
      <c r="A21" s="253">
        <v>10</v>
      </c>
      <c r="B21" s="184" t="s">
        <v>884</v>
      </c>
      <c r="C21" s="251" t="s">
        <v>938</v>
      </c>
      <c r="D21" s="252">
        <v>38</v>
      </c>
      <c r="E21" s="252"/>
      <c r="F21" s="252">
        <v>36</v>
      </c>
      <c r="G21" s="252">
        <v>2</v>
      </c>
      <c r="H21" s="252" t="s">
        <v>6</v>
      </c>
      <c r="I21" s="401">
        <f t="shared" si="0"/>
        <v>47500</v>
      </c>
      <c r="K21">
        <f t="shared" si="1"/>
        <v>1250</v>
      </c>
    </row>
    <row r="22" spans="1:11" ht="25.5" x14ac:dyDescent="0.25">
      <c r="A22" s="253">
        <v>11</v>
      </c>
      <c r="B22" s="184" t="s">
        <v>885</v>
      </c>
      <c r="C22" s="251" t="s">
        <v>938</v>
      </c>
      <c r="D22" s="252">
        <v>78</v>
      </c>
      <c r="E22" s="252" t="s">
        <v>939</v>
      </c>
      <c r="F22" s="252">
        <v>78</v>
      </c>
      <c r="G22" s="252"/>
      <c r="H22" s="252" t="s">
        <v>6</v>
      </c>
      <c r="I22" s="401">
        <f t="shared" si="0"/>
        <v>97500</v>
      </c>
      <c r="K22">
        <f t="shared" si="1"/>
        <v>1250</v>
      </c>
    </row>
    <row r="23" spans="1:11" ht="25.5" x14ac:dyDescent="0.25">
      <c r="A23" s="253">
        <v>12</v>
      </c>
      <c r="B23" s="241" t="s">
        <v>886</v>
      </c>
      <c r="C23" s="251" t="s">
        <v>938</v>
      </c>
      <c r="D23" s="252">
        <v>50</v>
      </c>
      <c r="E23" s="252" t="s">
        <v>939</v>
      </c>
      <c r="F23" s="252">
        <v>50</v>
      </c>
      <c r="G23" s="252" t="s">
        <v>6</v>
      </c>
      <c r="H23" s="252" t="s">
        <v>6</v>
      </c>
      <c r="I23" s="401">
        <f t="shared" si="0"/>
        <v>62500</v>
      </c>
      <c r="K23">
        <f t="shared" si="1"/>
        <v>1250</v>
      </c>
    </row>
    <row r="24" spans="1:11" ht="25.5" x14ac:dyDescent="0.25">
      <c r="A24" s="253">
        <v>13</v>
      </c>
      <c r="B24" s="184" t="s">
        <v>887</v>
      </c>
      <c r="C24" s="251" t="s">
        <v>938</v>
      </c>
      <c r="D24" s="252">
        <v>30</v>
      </c>
      <c r="E24" s="252" t="s">
        <v>939</v>
      </c>
      <c r="F24" s="252">
        <v>30</v>
      </c>
      <c r="G24" s="252" t="s">
        <v>6</v>
      </c>
      <c r="H24" s="252" t="s">
        <v>6</v>
      </c>
      <c r="I24" s="401">
        <f t="shared" si="0"/>
        <v>37500</v>
      </c>
      <c r="K24">
        <f t="shared" si="1"/>
        <v>1250</v>
      </c>
    </row>
    <row r="25" spans="1:11" ht="25.5" x14ac:dyDescent="0.25">
      <c r="A25" s="253">
        <v>14</v>
      </c>
      <c r="B25" s="184" t="s">
        <v>888</v>
      </c>
      <c r="C25" s="251" t="s">
        <v>938</v>
      </c>
      <c r="D25" s="252">
        <v>28</v>
      </c>
      <c r="E25" s="252" t="s">
        <v>939</v>
      </c>
      <c r="F25" s="252">
        <v>28</v>
      </c>
      <c r="G25" s="252" t="s">
        <v>6</v>
      </c>
      <c r="H25" s="252" t="s">
        <v>6</v>
      </c>
      <c r="I25" s="401">
        <f t="shared" si="0"/>
        <v>35000</v>
      </c>
      <c r="K25">
        <f t="shared" si="1"/>
        <v>1250</v>
      </c>
    </row>
    <row r="26" spans="1:11" ht="25.5" x14ac:dyDescent="0.25">
      <c r="A26" s="253">
        <v>15</v>
      </c>
      <c r="B26" s="184" t="s">
        <v>889</v>
      </c>
      <c r="C26" s="251" t="s">
        <v>938</v>
      </c>
      <c r="D26" s="252">
        <v>44</v>
      </c>
      <c r="E26" s="252"/>
      <c r="F26" s="252">
        <v>44</v>
      </c>
      <c r="G26" s="252" t="s">
        <v>6</v>
      </c>
      <c r="H26" s="252" t="s">
        <v>6</v>
      </c>
      <c r="I26" s="401">
        <f t="shared" si="0"/>
        <v>55000</v>
      </c>
      <c r="K26">
        <f t="shared" si="1"/>
        <v>1250</v>
      </c>
    </row>
    <row r="27" spans="1:11" ht="25.5" x14ac:dyDescent="0.25">
      <c r="A27" s="253">
        <v>16</v>
      </c>
      <c r="B27" s="184" t="s">
        <v>890</v>
      </c>
      <c r="C27" s="251" t="s">
        <v>938</v>
      </c>
      <c r="D27" s="252">
        <v>89</v>
      </c>
      <c r="E27" s="252" t="s">
        <v>939</v>
      </c>
      <c r="F27" s="252">
        <v>89</v>
      </c>
      <c r="G27" s="252" t="s">
        <v>6</v>
      </c>
      <c r="H27" s="252" t="s">
        <v>6</v>
      </c>
      <c r="I27" s="401">
        <f t="shared" si="0"/>
        <v>111250</v>
      </c>
      <c r="K27">
        <f t="shared" si="1"/>
        <v>1250</v>
      </c>
    </row>
    <row r="28" spans="1:11" ht="25.5" x14ac:dyDescent="0.25">
      <c r="A28" s="253">
        <v>17</v>
      </c>
      <c r="B28" s="184" t="s">
        <v>891</v>
      </c>
      <c r="C28" s="251" t="s">
        <v>938</v>
      </c>
      <c r="D28" s="252">
        <v>70</v>
      </c>
      <c r="E28" s="252" t="s">
        <v>939</v>
      </c>
      <c r="F28" s="252">
        <v>70</v>
      </c>
      <c r="G28" s="252" t="s">
        <v>6</v>
      </c>
      <c r="H28" s="252" t="s">
        <v>6</v>
      </c>
      <c r="I28" s="401">
        <f t="shared" si="0"/>
        <v>87500</v>
      </c>
      <c r="K28">
        <f t="shared" si="1"/>
        <v>1250</v>
      </c>
    </row>
    <row r="29" spans="1:11" ht="25.5" x14ac:dyDescent="0.25">
      <c r="A29" s="253">
        <v>18</v>
      </c>
      <c r="B29" s="184" t="s">
        <v>892</v>
      </c>
      <c r="C29" s="251" t="s">
        <v>938</v>
      </c>
      <c r="D29" s="252">
        <v>53</v>
      </c>
      <c r="E29" s="252" t="s">
        <v>939</v>
      </c>
      <c r="F29" s="252">
        <v>53</v>
      </c>
      <c r="G29" s="252" t="s">
        <v>6</v>
      </c>
      <c r="H29" s="252" t="s">
        <v>6</v>
      </c>
      <c r="I29" s="401">
        <f t="shared" si="0"/>
        <v>66250</v>
      </c>
      <c r="K29">
        <f t="shared" si="1"/>
        <v>1250</v>
      </c>
    </row>
    <row r="30" spans="1:11" ht="25.5" x14ac:dyDescent="0.25">
      <c r="A30" s="253">
        <v>19</v>
      </c>
      <c r="B30" s="184" t="s">
        <v>893</v>
      </c>
      <c r="C30" s="251" t="s">
        <v>938</v>
      </c>
      <c r="D30" s="251">
        <v>50</v>
      </c>
      <c r="E30" s="252" t="s">
        <v>939</v>
      </c>
      <c r="F30" s="251">
        <v>50</v>
      </c>
      <c r="G30" s="252" t="s">
        <v>6</v>
      </c>
      <c r="H30" s="252" t="s">
        <v>6</v>
      </c>
      <c r="I30" s="401">
        <f t="shared" si="0"/>
        <v>62500</v>
      </c>
      <c r="K30">
        <f t="shared" si="1"/>
        <v>1250</v>
      </c>
    </row>
    <row r="31" spans="1:11" ht="25.5" x14ac:dyDescent="0.25">
      <c r="A31" s="253">
        <v>20</v>
      </c>
      <c r="B31" s="184" t="s">
        <v>894</v>
      </c>
      <c r="C31" s="251" t="s">
        <v>938</v>
      </c>
      <c r="D31" s="216">
        <v>30</v>
      </c>
      <c r="E31" s="252" t="s">
        <v>939</v>
      </c>
      <c r="F31" s="216">
        <v>30</v>
      </c>
      <c r="G31" s="252" t="s">
        <v>6</v>
      </c>
      <c r="H31" s="252" t="s">
        <v>6</v>
      </c>
      <c r="I31" s="401">
        <f t="shared" si="0"/>
        <v>37500</v>
      </c>
      <c r="K31">
        <f t="shared" si="1"/>
        <v>1250</v>
      </c>
    </row>
    <row r="32" spans="1:11" ht="25.5" x14ac:dyDescent="0.25">
      <c r="A32" s="253">
        <v>21</v>
      </c>
      <c r="B32" s="184" t="s">
        <v>895</v>
      </c>
      <c r="C32" s="251" t="s">
        <v>938</v>
      </c>
      <c r="D32" s="216">
        <v>68</v>
      </c>
      <c r="E32" s="252" t="s">
        <v>939</v>
      </c>
      <c r="F32" s="216">
        <v>68</v>
      </c>
      <c r="G32" s="252" t="s">
        <v>6</v>
      </c>
      <c r="H32" s="252" t="s">
        <v>6</v>
      </c>
      <c r="I32" s="401">
        <f t="shared" si="0"/>
        <v>85000</v>
      </c>
      <c r="K32">
        <f t="shared" si="1"/>
        <v>1250</v>
      </c>
    </row>
    <row r="33" spans="1:11" ht="25.5" x14ac:dyDescent="0.25">
      <c r="A33" s="253">
        <v>22</v>
      </c>
      <c r="B33" s="184" t="s">
        <v>896</v>
      </c>
      <c r="C33" s="251" t="s">
        <v>938</v>
      </c>
      <c r="D33" s="216">
        <v>49</v>
      </c>
      <c r="E33" s="252" t="s">
        <v>939</v>
      </c>
      <c r="F33" s="216">
        <v>49</v>
      </c>
      <c r="G33" s="252" t="s">
        <v>6</v>
      </c>
      <c r="H33" s="252" t="s">
        <v>6</v>
      </c>
      <c r="I33" s="401">
        <f t="shared" si="0"/>
        <v>61250</v>
      </c>
      <c r="K33">
        <f t="shared" si="1"/>
        <v>1250</v>
      </c>
    </row>
    <row r="34" spans="1:11" ht="25.5" x14ac:dyDescent="0.25">
      <c r="A34" s="253">
        <v>23</v>
      </c>
      <c r="B34" s="184" t="s">
        <v>897</v>
      </c>
      <c r="C34" s="251" t="s">
        <v>938</v>
      </c>
      <c r="D34" s="141">
        <v>56</v>
      </c>
      <c r="E34" s="252" t="s">
        <v>939</v>
      </c>
      <c r="F34" s="141">
        <v>56</v>
      </c>
      <c r="G34" s="252" t="s">
        <v>6</v>
      </c>
      <c r="H34" s="252" t="s">
        <v>6</v>
      </c>
      <c r="I34" s="401">
        <f t="shared" si="0"/>
        <v>70000</v>
      </c>
      <c r="K34">
        <f t="shared" si="1"/>
        <v>1250</v>
      </c>
    </row>
    <row r="35" spans="1:11" ht="25.5" x14ac:dyDescent="0.25">
      <c r="A35" s="253">
        <v>24</v>
      </c>
      <c r="B35" s="184" t="s">
        <v>898</v>
      </c>
      <c r="C35" s="251" t="s">
        <v>938</v>
      </c>
      <c r="D35" s="141">
        <v>59</v>
      </c>
      <c r="E35" s="252" t="s">
        <v>939</v>
      </c>
      <c r="F35" s="141">
        <v>59</v>
      </c>
      <c r="G35" s="252" t="s">
        <v>6</v>
      </c>
      <c r="H35" s="252" t="s">
        <v>6</v>
      </c>
      <c r="I35" s="401">
        <f t="shared" si="0"/>
        <v>73750</v>
      </c>
      <c r="K35">
        <f t="shared" si="1"/>
        <v>1250</v>
      </c>
    </row>
    <row r="36" spans="1:11" x14ac:dyDescent="0.2">
      <c r="A36" s="733" t="s">
        <v>15</v>
      </c>
      <c r="B36" s="735"/>
      <c r="C36" s="9"/>
      <c r="D36" s="141">
        <f>SUM(D12:D35)</f>
        <v>1256</v>
      </c>
      <c r="E36" s="9"/>
      <c r="F36" s="3">
        <f>SUM(F12:F35)</f>
        <v>1252</v>
      </c>
      <c r="G36" s="3">
        <v>4</v>
      </c>
      <c r="H36" s="9"/>
      <c r="I36" s="402">
        <f>SUM(I12:I35)</f>
        <v>1570000</v>
      </c>
    </row>
    <row r="40" spans="1:11" x14ac:dyDescent="0.2">
      <c r="A40" s="186"/>
      <c r="B40" s="186"/>
      <c r="C40" s="186"/>
      <c r="D40" s="186"/>
      <c r="E40" s="669"/>
      <c r="F40" s="669"/>
      <c r="G40" s="187" t="s">
        <v>1107</v>
      </c>
      <c r="H40" s="669"/>
    </row>
    <row r="41" spans="1:11" ht="12.75" customHeight="1" x14ac:dyDescent="0.2">
      <c r="A41" s="186"/>
      <c r="B41" s="186"/>
      <c r="C41" s="186"/>
      <c r="D41" s="186"/>
      <c r="E41" s="669"/>
      <c r="F41" s="865" t="s">
        <v>1108</v>
      </c>
      <c r="G41" s="865"/>
      <c r="H41" s="865"/>
      <c r="I41" s="567"/>
    </row>
    <row r="42" spans="1:11" x14ac:dyDescent="0.2">
      <c r="A42" s="186"/>
      <c r="B42" s="186"/>
      <c r="C42" s="186"/>
      <c r="D42" s="186"/>
      <c r="E42" s="669"/>
      <c r="F42" s="865" t="s">
        <v>1113</v>
      </c>
      <c r="G42" s="865"/>
      <c r="H42" s="865"/>
      <c r="I42" s="567"/>
    </row>
    <row r="43" spans="1:11" x14ac:dyDescent="0.2">
      <c r="A43" s="186" t="s">
        <v>11</v>
      </c>
      <c r="B43" s="669"/>
      <c r="C43" s="186"/>
      <c r="D43" s="186"/>
      <c r="E43" s="669"/>
      <c r="F43" s="669"/>
      <c r="G43" s="188" t="s">
        <v>1110</v>
      </c>
      <c r="H43" s="567"/>
      <c r="I43" s="567"/>
    </row>
  </sheetData>
  <mergeCells count="18">
    <mergeCell ref="E8:E10"/>
    <mergeCell ref="F8:F10"/>
    <mergeCell ref="A7:A10"/>
    <mergeCell ref="G8:G10"/>
    <mergeCell ref="H7:H10"/>
    <mergeCell ref="B7:B10"/>
    <mergeCell ref="C7:C10"/>
    <mergeCell ref="E7:G7"/>
    <mergeCell ref="F42:H42"/>
    <mergeCell ref="F41:H41"/>
    <mergeCell ref="A36:B36"/>
    <mergeCell ref="H1:I1"/>
    <mergeCell ref="C5:H5"/>
    <mergeCell ref="D7:D10"/>
    <mergeCell ref="H6:I6"/>
    <mergeCell ref="C2:G2"/>
    <mergeCell ref="B3:G3"/>
    <mergeCell ref="I7:I10"/>
  </mergeCells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topLeftCell="A10" zoomScale="85" zoomScaleNormal="100" zoomScaleSheetLayoutView="85" workbookViewId="0">
      <selection activeCell="M43" sqref="M43:N44"/>
    </sheetView>
  </sheetViews>
  <sheetFormatPr defaultRowHeight="12.75" x14ac:dyDescent="0.2"/>
  <cols>
    <col min="2" max="2" width="19" bestFit="1" customWidth="1"/>
    <col min="6" max="6" width="11.5703125" customWidth="1"/>
    <col min="7" max="7" width="10.42578125" customWidth="1"/>
    <col min="8" max="8" width="47.85546875" customWidth="1"/>
    <col min="9" max="9" width="11.140625" customWidth="1"/>
    <col min="10" max="10" width="22.85546875" customWidth="1"/>
  </cols>
  <sheetData>
    <row r="1" spans="1:10" ht="18" x14ac:dyDescent="0.35">
      <c r="A1" s="867" t="s">
        <v>0</v>
      </c>
      <c r="B1" s="867"/>
      <c r="C1" s="867"/>
      <c r="D1" s="867"/>
      <c r="E1" s="867"/>
      <c r="F1" s="867"/>
      <c r="G1" s="867"/>
      <c r="H1" s="867"/>
      <c r="I1" s="209"/>
      <c r="J1" s="258" t="s">
        <v>544</v>
      </c>
    </row>
    <row r="2" spans="1:10" ht="21" x14ac:dyDescent="0.35">
      <c r="A2" s="868" t="s">
        <v>694</v>
      </c>
      <c r="B2" s="868"/>
      <c r="C2" s="868"/>
      <c r="D2" s="868"/>
      <c r="E2" s="868"/>
      <c r="F2" s="868"/>
      <c r="G2" s="868"/>
      <c r="H2" s="868"/>
      <c r="I2" s="868"/>
      <c r="J2" s="868"/>
    </row>
    <row r="3" spans="1:10" ht="15" x14ac:dyDescent="0.3">
      <c r="A3" s="180"/>
      <c r="B3" s="180"/>
      <c r="C3" s="180"/>
      <c r="D3" s="180"/>
      <c r="E3" s="180"/>
      <c r="F3" s="180"/>
      <c r="G3" s="180"/>
      <c r="H3" s="180"/>
      <c r="I3" s="180"/>
    </row>
    <row r="4" spans="1:10" ht="18" x14ac:dyDescent="0.35">
      <c r="A4" s="867" t="s">
        <v>543</v>
      </c>
      <c r="B4" s="867"/>
      <c r="C4" s="867"/>
      <c r="D4" s="867"/>
      <c r="E4" s="867"/>
      <c r="F4" s="867"/>
      <c r="G4" s="867"/>
      <c r="H4" s="867"/>
      <c r="I4" s="867"/>
    </row>
    <row r="5" spans="1:10" ht="15" x14ac:dyDescent="0.3">
      <c r="A5" s="33" t="s">
        <v>1098</v>
      </c>
      <c r="B5" s="181"/>
      <c r="C5" s="181"/>
      <c r="D5" s="181"/>
      <c r="E5" s="181"/>
      <c r="F5" s="181"/>
      <c r="G5" s="181"/>
      <c r="H5" s="181"/>
      <c r="I5" s="958" t="s">
        <v>772</v>
      </c>
      <c r="J5" s="958"/>
    </row>
    <row r="6" spans="1:10" ht="25.5" customHeight="1" x14ac:dyDescent="0.2">
      <c r="A6" s="964" t="s">
        <v>1</v>
      </c>
      <c r="B6" s="964" t="s">
        <v>384</v>
      </c>
      <c r="C6" s="775" t="s">
        <v>385</v>
      </c>
      <c r="D6" s="775"/>
      <c r="E6" s="775"/>
      <c r="F6" s="961" t="s">
        <v>388</v>
      </c>
      <c r="G6" s="962"/>
      <c r="H6" s="962"/>
      <c r="I6" s="963"/>
      <c r="J6" s="959" t="s">
        <v>392</v>
      </c>
    </row>
    <row r="7" spans="1:10" ht="63" customHeight="1" x14ac:dyDescent="0.2">
      <c r="A7" s="964"/>
      <c r="B7" s="964"/>
      <c r="C7" s="5" t="s">
        <v>96</v>
      </c>
      <c r="D7" s="5" t="s">
        <v>386</v>
      </c>
      <c r="E7" s="5" t="s">
        <v>387</v>
      </c>
      <c r="F7" s="212" t="s">
        <v>389</v>
      </c>
      <c r="G7" s="212" t="s">
        <v>390</v>
      </c>
      <c r="H7" s="212" t="s">
        <v>391</v>
      </c>
      <c r="I7" s="212" t="s">
        <v>43</v>
      </c>
      <c r="J7" s="960"/>
    </row>
    <row r="8" spans="1:10" ht="15" x14ac:dyDescent="0.2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260</v>
      </c>
      <c r="G8" s="183" t="s">
        <v>279</v>
      </c>
      <c r="H8" s="183" t="s">
        <v>280</v>
      </c>
      <c r="I8" s="183" t="s">
        <v>281</v>
      </c>
      <c r="J8" s="183" t="s">
        <v>309</v>
      </c>
    </row>
    <row r="9" spans="1:10" ht="15" x14ac:dyDescent="0.25">
      <c r="A9" s="253">
        <v>1</v>
      </c>
      <c r="B9" s="184" t="s">
        <v>875</v>
      </c>
      <c r="C9" s="183"/>
      <c r="D9" s="183"/>
      <c r="E9" s="405">
        <f>'AT-3'!G9</f>
        <v>2177</v>
      </c>
      <c r="F9" s="183"/>
      <c r="G9" s="183"/>
      <c r="H9" s="197" t="s">
        <v>941</v>
      </c>
      <c r="I9" s="183"/>
      <c r="J9" s="403" t="s">
        <v>942</v>
      </c>
    </row>
    <row r="10" spans="1:10" ht="15" x14ac:dyDescent="0.25">
      <c r="A10" s="253">
        <v>2</v>
      </c>
      <c r="B10" s="184" t="s">
        <v>876</v>
      </c>
      <c r="C10" s="183"/>
      <c r="D10" s="183"/>
      <c r="E10" s="405">
        <f>'AT-3'!G10</f>
        <v>868</v>
      </c>
      <c r="F10" s="183"/>
      <c r="G10" s="183"/>
      <c r="H10" s="197" t="s">
        <v>941</v>
      </c>
      <c r="I10" s="183"/>
      <c r="J10" s="403" t="s">
        <v>942</v>
      </c>
    </row>
    <row r="11" spans="1:10" ht="15" x14ac:dyDescent="0.25">
      <c r="A11" s="253">
        <v>3</v>
      </c>
      <c r="B11" s="184" t="s">
        <v>877</v>
      </c>
      <c r="C11" s="183"/>
      <c r="D11" s="183"/>
      <c r="E11" s="405">
        <f>'AT-3'!G11</f>
        <v>491</v>
      </c>
      <c r="F11" s="183"/>
      <c r="G11" s="183"/>
      <c r="H11" s="197" t="s">
        <v>941</v>
      </c>
      <c r="I11" s="183"/>
      <c r="J11" s="403" t="s">
        <v>942</v>
      </c>
    </row>
    <row r="12" spans="1:10" ht="15" x14ac:dyDescent="0.25">
      <c r="A12" s="253">
        <v>4</v>
      </c>
      <c r="B12" s="184" t="s">
        <v>878</v>
      </c>
      <c r="C12" s="183"/>
      <c r="D12" s="183"/>
      <c r="E12" s="405">
        <f>'AT-3'!G12</f>
        <v>1519</v>
      </c>
      <c r="F12" s="183"/>
      <c r="G12" s="183"/>
      <c r="H12" s="197" t="s">
        <v>941</v>
      </c>
      <c r="I12" s="183"/>
      <c r="J12" s="403" t="s">
        <v>942</v>
      </c>
    </row>
    <row r="13" spans="1:10" ht="15" x14ac:dyDescent="0.25">
      <c r="A13" s="253">
        <v>5</v>
      </c>
      <c r="B13" s="184" t="s">
        <v>879</v>
      </c>
      <c r="C13" s="183"/>
      <c r="D13" s="183"/>
      <c r="E13" s="405">
        <f>'AT-3'!G13</f>
        <v>968</v>
      </c>
      <c r="F13" s="183"/>
      <c r="G13" s="183"/>
      <c r="H13" s="197" t="s">
        <v>941</v>
      </c>
      <c r="I13" s="183"/>
      <c r="J13" s="403" t="s">
        <v>942</v>
      </c>
    </row>
    <row r="14" spans="1:10" ht="15" x14ac:dyDescent="0.25">
      <c r="A14" s="253">
        <v>6</v>
      </c>
      <c r="B14" s="184" t="s">
        <v>880</v>
      </c>
      <c r="C14" s="183"/>
      <c r="D14" s="183"/>
      <c r="E14" s="405">
        <f>'AT-3'!G14</f>
        <v>1620</v>
      </c>
      <c r="F14" s="183"/>
      <c r="G14" s="183"/>
      <c r="H14" s="197" t="s">
        <v>941</v>
      </c>
      <c r="I14" s="183"/>
      <c r="J14" s="403" t="s">
        <v>942</v>
      </c>
    </row>
    <row r="15" spans="1:10" ht="15" x14ac:dyDescent="0.25">
      <c r="A15" s="253">
        <v>7</v>
      </c>
      <c r="B15" s="184" t="s">
        <v>881</v>
      </c>
      <c r="C15" s="183"/>
      <c r="D15" s="183"/>
      <c r="E15" s="405">
        <f>'AT-3'!G15</f>
        <v>1381</v>
      </c>
      <c r="F15" s="183"/>
      <c r="G15" s="183"/>
      <c r="H15" s="197" t="s">
        <v>941</v>
      </c>
      <c r="I15" s="183"/>
      <c r="J15" s="403" t="s">
        <v>942</v>
      </c>
    </row>
    <row r="16" spans="1:10" ht="15" x14ac:dyDescent="0.25">
      <c r="A16" s="253">
        <v>8</v>
      </c>
      <c r="B16" s="184" t="s">
        <v>882</v>
      </c>
      <c r="C16" s="183"/>
      <c r="D16" s="183"/>
      <c r="E16" s="405">
        <f>'AT-3'!G16</f>
        <v>2066</v>
      </c>
      <c r="F16" s="183"/>
      <c r="G16" s="183"/>
      <c r="H16" s="197" t="s">
        <v>941</v>
      </c>
      <c r="I16" s="183"/>
      <c r="J16" s="403" t="s">
        <v>942</v>
      </c>
    </row>
    <row r="17" spans="1:13" ht="15" x14ac:dyDescent="0.25">
      <c r="A17" s="253">
        <v>9</v>
      </c>
      <c r="B17" s="184" t="s">
        <v>883</v>
      </c>
      <c r="C17" s="183"/>
      <c r="D17" s="183"/>
      <c r="E17" s="405">
        <f>'AT-3'!G17</f>
        <v>2499</v>
      </c>
      <c r="F17" s="183"/>
      <c r="G17" s="183"/>
      <c r="H17" s="197" t="s">
        <v>941</v>
      </c>
      <c r="I17" s="183"/>
      <c r="J17" s="403" t="s">
        <v>942</v>
      </c>
    </row>
    <row r="18" spans="1:13" ht="15" x14ac:dyDescent="0.25">
      <c r="A18" s="253">
        <v>10</v>
      </c>
      <c r="B18" s="184" t="s">
        <v>884</v>
      </c>
      <c r="C18" s="183"/>
      <c r="D18" s="183"/>
      <c r="E18" s="405">
        <f>'AT-3'!G18</f>
        <v>1037</v>
      </c>
      <c r="F18" s="183"/>
      <c r="G18" s="183"/>
      <c r="H18" s="197" t="s">
        <v>941</v>
      </c>
      <c r="I18" s="183"/>
      <c r="J18" s="403" t="s">
        <v>942</v>
      </c>
    </row>
    <row r="19" spans="1:13" ht="15" x14ac:dyDescent="0.25">
      <c r="A19" s="253">
        <v>11</v>
      </c>
      <c r="B19" s="184" t="s">
        <v>885</v>
      </c>
      <c r="C19" s="183"/>
      <c r="D19" s="183"/>
      <c r="E19" s="405">
        <f>'AT-3'!G19</f>
        <v>1420</v>
      </c>
      <c r="F19" s="183"/>
      <c r="G19" s="183"/>
      <c r="H19" s="197" t="s">
        <v>941</v>
      </c>
      <c r="I19" s="183"/>
      <c r="J19" s="403" t="s">
        <v>942</v>
      </c>
    </row>
    <row r="20" spans="1:13" ht="15" x14ac:dyDescent="0.25">
      <c r="A20" s="253">
        <v>12</v>
      </c>
      <c r="B20" s="241" t="s">
        <v>886</v>
      </c>
      <c r="C20" s="183"/>
      <c r="D20" s="183"/>
      <c r="E20" s="405">
        <f>'AT-3'!G20</f>
        <v>1479</v>
      </c>
      <c r="F20" s="183"/>
      <c r="G20" s="183"/>
      <c r="H20" s="197" t="s">
        <v>941</v>
      </c>
      <c r="I20" s="183"/>
      <c r="J20" s="403" t="s">
        <v>942</v>
      </c>
    </row>
    <row r="21" spans="1:13" ht="15" x14ac:dyDescent="0.25">
      <c r="A21" s="253">
        <v>13</v>
      </c>
      <c r="B21" s="184" t="s">
        <v>887</v>
      </c>
      <c r="C21" s="183"/>
      <c r="D21" s="183"/>
      <c r="E21" s="405">
        <f>'AT-3'!G21</f>
        <v>587</v>
      </c>
      <c r="F21" s="183"/>
      <c r="G21" s="183"/>
      <c r="H21" s="197" t="s">
        <v>941</v>
      </c>
      <c r="I21" s="183"/>
      <c r="J21" s="403" t="s">
        <v>942</v>
      </c>
    </row>
    <row r="22" spans="1:13" ht="15" x14ac:dyDescent="0.25">
      <c r="A22" s="253">
        <v>14</v>
      </c>
      <c r="B22" s="184" t="s">
        <v>888</v>
      </c>
      <c r="C22" s="183"/>
      <c r="D22" s="183"/>
      <c r="E22" s="405">
        <f>'AT-3'!G22</f>
        <v>659</v>
      </c>
      <c r="F22" s="183"/>
      <c r="G22" s="183"/>
      <c r="H22" s="197" t="s">
        <v>941</v>
      </c>
      <c r="I22" s="183"/>
      <c r="J22" s="403" t="s">
        <v>942</v>
      </c>
    </row>
    <row r="23" spans="1:13" ht="15" x14ac:dyDescent="0.25">
      <c r="A23" s="253">
        <v>15</v>
      </c>
      <c r="B23" s="184" t="s">
        <v>889</v>
      </c>
      <c r="C23" s="183"/>
      <c r="D23" s="183"/>
      <c r="E23" s="405">
        <f>'AT-3'!G23</f>
        <v>1539</v>
      </c>
      <c r="F23" s="183"/>
      <c r="G23" s="183"/>
      <c r="H23" s="197" t="s">
        <v>941</v>
      </c>
      <c r="I23" s="183"/>
      <c r="J23" s="403" t="s">
        <v>942</v>
      </c>
    </row>
    <row r="24" spans="1:13" ht="15" x14ac:dyDescent="0.25">
      <c r="A24" s="253">
        <v>16</v>
      </c>
      <c r="B24" s="184" t="s">
        <v>890</v>
      </c>
      <c r="C24" s="183"/>
      <c r="D24" s="183"/>
      <c r="E24" s="405">
        <f>'AT-3'!G24</f>
        <v>3136</v>
      </c>
      <c r="F24" s="183"/>
      <c r="G24" s="183"/>
      <c r="H24" s="197" t="s">
        <v>941</v>
      </c>
      <c r="I24" s="183"/>
      <c r="J24" s="403" t="s">
        <v>942</v>
      </c>
    </row>
    <row r="25" spans="1:13" ht="15" x14ac:dyDescent="0.25">
      <c r="A25" s="253">
        <v>17</v>
      </c>
      <c r="B25" s="184" t="s">
        <v>891</v>
      </c>
      <c r="C25" s="183"/>
      <c r="D25" s="183"/>
      <c r="E25" s="405">
        <f>'AT-3'!G25</f>
        <v>1694</v>
      </c>
      <c r="F25" s="183"/>
      <c r="G25" s="183"/>
      <c r="H25" s="197" t="s">
        <v>941</v>
      </c>
      <c r="I25" s="183"/>
      <c r="J25" s="403" t="s">
        <v>942</v>
      </c>
    </row>
    <row r="26" spans="1:13" ht="15" x14ac:dyDescent="0.25">
      <c r="A26" s="253">
        <v>18</v>
      </c>
      <c r="B26" s="184" t="s">
        <v>892</v>
      </c>
      <c r="C26" s="9"/>
      <c r="D26" s="9"/>
      <c r="E26" s="405">
        <f>'AT-3'!G26</f>
        <v>1522</v>
      </c>
      <c r="F26" s="9"/>
      <c r="G26" s="9"/>
      <c r="H26" s="197" t="s">
        <v>941</v>
      </c>
      <c r="I26" s="9"/>
      <c r="J26" s="403" t="s">
        <v>942</v>
      </c>
    </row>
    <row r="27" spans="1:13" ht="15" x14ac:dyDescent="0.25">
      <c r="A27" s="253">
        <v>19</v>
      </c>
      <c r="B27" s="184" t="s">
        <v>893</v>
      </c>
      <c r="C27" s="9"/>
      <c r="D27" s="9"/>
      <c r="E27" s="405">
        <f>'AT-3'!G27</f>
        <v>2314</v>
      </c>
      <c r="F27" s="9"/>
      <c r="G27" s="9"/>
      <c r="H27" s="197" t="s">
        <v>941</v>
      </c>
      <c r="I27" s="9"/>
      <c r="J27" s="403" t="s">
        <v>942</v>
      </c>
    </row>
    <row r="28" spans="1:13" ht="15" x14ac:dyDescent="0.25">
      <c r="A28" s="253">
        <v>20</v>
      </c>
      <c r="B28" s="184" t="s">
        <v>894</v>
      </c>
      <c r="C28" s="9"/>
      <c r="D28" s="9"/>
      <c r="E28" s="405">
        <f>'AT-3'!G28</f>
        <v>1015</v>
      </c>
      <c r="F28" s="9"/>
      <c r="G28" s="9"/>
      <c r="H28" s="197" t="s">
        <v>941</v>
      </c>
      <c r="I28" s="9"/>
      <c r="J28" s="403" t="s">
        <v>942</v>
      </c>
    </row>
    <row r="29" spans="1:13" ht="15" x14ac:dyDescent="0.25">
      <c r="A29" s="253">
        <v>21</v>
      </c>
      <c r="B29" s="184" t="s">
        <v>895</v>
      </c>
      <c r="C29" s="9"/>
      <c r="D29" s="9"/>
      <c r="E29" s="405">
        <f>'AT-3'!G29</f>
        <v>1286</v>
      </c>
      <c r="F29" s="9"/>
      <c r="G29" s="9"/>
      <c r="H29" s="197" t="s">
        <v>941</v>
      </c>
      <c r="I29" s="9"/>
      <c r="J29" s="403" t="s">
        <v>942</v>
      </c>
    </row>
    <row r="30" spans="1:13" ht="15" x14ac:dyDescent="0.25">
      <c r="A30" s="253">
        <v>22</v>
      </c>
      <c r="B30" s="184" t="s">
        <v>896</v>
      </c>
      <c r="C30" s="9"/>
      <c r="D30" s="9"/>
      <c r="E30" s="405">
        <f>'AT-3'!G30</f>
        <v>1011</v>
      </c>
      <c r="F30" s="9"/>
      <c r="G30" s="9"/>
      <c r="H30" s="197" t="s">
        <v>941</v>
      </c>
      <c r="I30" s="9"/>
      <c r="J30" s="403" t="s">
        <v>942</v>
      </c>
      <c r="M30" s="15" t="s">
        <v>393</v>
      </c>
    </row>
    <row r="31" spans="1:13" ht="15" x14ac:dyDescent="0.25">
      <c r="A31" s="253">
        <v>23</v>
      </c>
      <c r="B31" s="184" t="s">
        <v>897</v>
      </c>
      <c r="C31" s="9"/>
      <c r="D31" s="9"/>
      <c r="E31" s="405">
        <f>'AT-3'!G31</f>
        <v>1540</v>
      </c>
      <c r="F31" s="9"/>
      <c r="G31" s="9"/>
      <c r="H31" s="197" t="s">
        <v>941</v>
      </c>
      <c r="I31" s="9"/>
      <c r="J31" s="403" t="s">
        <v>942</v>
      </c>
    </row>
    <row r="32" spans="1:13" ht="15" x14ac:dyDescent="0.25">
      <c r="A32" s="253">
        <v>24</v>
      </c>
      <c r="B32" s="184" t="s">
        <v>898</v>
      </c>
      <c r="C32" s="9"/>
      <c r="D32" s="9"/>
      <c r="E32" s="405">
        <f>'AT-3'!G32</f>
        <v>1945</v>
      </c>
      <c r="F32" s="9"/>
      <c r="G32" s="9"/>
      <c r="H32" s="197" t="s">
        <v>941</v>
      </c>
      <c r="I32" s="9"/>
      <c r="J32" s="403" t="s">
        <v>942</v>
      </c>
    </row>
    <row r="33" spans="1:10" ht="15" x14ac:dyDescent="0.2">
      <c r="A33" s="733" t="s">
        <v>15</v>
      </c>
      <c r="B33" s="735"/>
      <c r="C33" s="9"/>
      <c r="D33" s="9"/>
      <c r="E33" s="406">
        <f>SUM(E9:E32)</f>
        <v>35773</v>
      </c>
      <c r="F33" s="9"/>
      <c r="G33" s="9"/>
      <c r="H33" s="9"/>
      <c r="I33" s="9"/>
      <c r="J33" s="403" t="s">
        <v>942</v>
      </c>
    </row>
    <row r="37" spans="1:10" x14ac:dyDescent="0.2">
      <c r="A37" s="186"/>
      <c r="B37" s="186"/>
      <c r="C37" s="186"/>
      <c r="D37" s="186"/>
      <c r="E37" s="669"/>
      <c r="F37" s="669"/>
      <c r="G37" s="669"/>
      <c r="H37" s="669"/>
      <c r="I37" s="865" t="s">
        <v>1107</v>
      </c>
      <c r="J37" s="865"/>
    </row>
    <row r="38" spans="1:10" x14ac:dyDescent="0.2">
      <c r="A38" s="186"/>
      <c r="B38" s="186"/>
      <c r="C38" s="186"/>
      <c r="D38" s="186"/>
      <c r="E38" s="669"/>
      <c r="F38" s="669"/>
      <c r="G38" s="669"/>
      <c r="H38" s="669"/>
      <c r="I38" s="865" t="s">
        <v>1108</v>
      </c>
      <c r="J38" s="865"/>
    </row>
    <row r="39" spans="1:10" ht="12.75" customHeight="1" x14ac:dyDescent="0.2">
      <c r="A39" s="186"/>
      <c r="B39" s="186"/>
      <c r="C39" s="186"/>
      <c r="D39" s="186"/>
      <c r="E39" s="669"/>
      <c r="F39" s="669"/>
      <c r="G39" s="669"/>
      <c r="H39" s="669"/>
      <c r="I39" s="865" t="s">
        <v>1113</v>
      </c>
      <c r="J39" s="865"/>
    </row>
    <row r="40" spans="1:10" ht="12.75" customHeight="1" x14ac:dyDescent="0.2">
      <c r="A40" s="186" t="s">
        <v>11</v>
      </c>
      <c r="B40" s="669"/>
      <c r="C40" s="186"/>
      <c r="D40" s="186"/>
      <c r="E40" s="669"/>
      <c r="F40" s="669"/>
      <c r="G40" s="669"/>
      <c r="H40" s="669"/>
      <c r="I40" s="669"/>
      <c r="J40" s="188" t="s">
        <v>1110</v>
      </c>
    </row>
  </sheetData>
  <mergeCells count="13">
    <mergeCell ref="A1:H1"/>
    <mergeCell ref="A2:J2"/>
    <mergeCell ref="A4:I4"/>
    <mergeCell ref="A33:B33"/>
    <mergeCell ref="A6:A7"/>
    <mergeCell ref="B6:B7"/>
    <mergeCell ref="C6:E6"/>
    <mergeCell ref="I37:J37"/>
    <mergeCell ref="I38:J38"/>
    <mergeCell ref="I5:J5"/>
    <mergeCell ref="J6:J7"/>
    <mergeCell ref="F6:I6"/>
    <mergeCell ref="I39:J39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topLeftCell="A13" zoomScale="115" zoomScaleNormal="100" zoomScaleSheetLayoutView="115" workbookViewId="0">
      <selection activeCell="A33" sqref="A33:G36"/>
    </sheetView>
  </sheetViews>
  <sheetFormatPr defaultRowHeight="12.75" x14ac:dyDescent="0.2"/>
  <cols>
    <col min="1" max="1" width="5.28515625" style="186" customWidth="1"/>
    <col min="2" max="2" width="8.5703125" style="186" customWidth="1"/>
    <col min="3" max="3" width="32.140625" style="186" customWidth="1"/>
    <col min="4" max="4" width="15.140625" style="186" customWidth="1"/>
    <col min="5" max="6" width="11.7109375" style="186" customWidth="1"/>
    <col min="7" max="7" width="13.7109375" style="186" customWidth="1"/>
    <col min="8" max="8" width="20.140625" style="186" customWidth="1"/>
    <col min="9" max="16384" width="9.140625" style="186"/>
  </cols>
  <sheetData>
    <row r="1" spans="1:8" x14ac:dyDescent="0.2">
      <c r="A1" s="186" t="s">
        <v>10</v>
      </c>
      <c r="H1" s="202" t="s">
        <v>546</v>
      </c>
    </row>
    <row r="2" spans="1:8" s="190" customFormat="1" ht="15.75" x14ac:dyDescent="0.25">
      <c r="A2" s="902" t="s">
        <v>0</v>
      </c>
      <c r="B2" s="902"/>
      <c r="C2" s="902"/>
      <c r="D2" s="902"/>
      <c r="E2" s="902"/>
      <c r="F2" s="902"/>
      <c r="G2" s="902"/>
      <c r="H2" s="902"/>
    </row>
    <row r="3" spans="1:8" s="190" customFormat="1" ht="20.25" customHeight="1" x14ac:dyDescent="0.3">
      <c r="A3" s="903" t="s">
        <v>694</v>
      </c>
      <c r="B3" s="903"/>
      <c r="C3" s="903"/>
      <c r="D3" s="903"/>
      <c r="E3" s="903"/>
      <c r="F3" s="903"/>
      <c r="G3" s="903"/>
      <c r="H3" s="903"/>
    </row>
    <row r="5" spans="1:8" s="190" customFormat="1" ht="15.75" x14ac:dyDescent="0.25">
      <c r="A5" s="906" t="s">
        <v>545</v>
      </c>
      <c r="B5" s="906"/>
      <c r="C5" s="906"/>
      <c r="D5" s="906"/>
      <c r="E5" s="906"/>
      <c r="F5" s="906"/>
      <c r="G5" s="906"/>
      <c r="H5" s="967"/>
    </row>
    <row r="7" spans="1:8" x14ac:dyDescent="0.2">
      <c r="A7" s="191" t="s">
        <v>1098</v>
      </c>
      <c r="B7" s="191"/>
      <c r="C7" s="192"/>
      <c r="D7" s="193"/>
      <c r="E7" s="193"/>
      <c r="F7" s="193"/>
      <c r="G7" s="193"/>
    </row>
    <row r="9" spans="1:8" ht="13.9" customHeight="1" x14ac:dyDescent="0.25">
      <c r="A9" s="203"/>
      <c r="B9" s="203"/>
      <c r="C9" s="203"/>
      <c r="D9" s="203"/>
      <c r="E9" s="203"/>
      <c r="F9" s="203"/>
      <c r="G9" s="203"/>
    </row>
    <row r="10" spans="1:8" s="194" customFormat="1" x14ac:dyDescent="0.2">
      <c r="A10" s="186"/>
      <c r="B10" s="186"/>
      <c r="C10" s="186"/>
      <c r="D10" s="186"/>
      <c r="E10" s="186"/>
      <c r="F10" s="186"/>
      <c r="G10" s="186"/>
      <c r="H10" s="121"/>
    </row>
    <row r="11" spans="1:8" s="194" customFormat="1" ht="39.75" customHeight="1" x14ac:dyDescent="0.2">
      <c r="A11" s="195"/>
      <c r="B11" s="968" t="s">
        <v>273</v>
      </c>
      <c r="C11" s="968" t="s">
        <v>274</v>
      </c>
      <c r="D11" s="970" t="s">
        <v>275</v>
      </c>
      <c r="E11" s="971"/>
      <c r="F11" s="971"/>
      <c r="G11" s="972"/>
      <c r="H11" s="968" t="s">
        <v>74</v>
      </c>
    </row>
    <row r="12" spans="1:8" s="194" customFormat="1" ht="25.5" x14ac:dyDescent="0.25">
      <c r="A12" s="196"/>
      <c r="B12" s="969"/>
      <c r="C12" s="969"/>
      <c r="D12" s="204" t="s">
        <v>276</v>
      </c>
      <c r="E12" s="204" t="s">
        <v>277</v>
      </c>
      <c r="F12" s="204" t="s">
        <v>278</v>
      </c>
      <c r="G12" s="204" t="s">
        <v>15</v>
      </c>
      <c r="H12" s="969"/>
    </row>
    <row r="13" spans="1:8" s="194" customFormat="1" ht="15" x14ac:dyDescent="0.25">
      <c r="A13" s="196"/>
      <c r="B13" s="542" t="s">
        <v>253</v>
      </c>
      <c r="C13" s="542" t="s">
        <v>254</v>
      </c>
      <c r="D13" s="542" t="s">
        <v>255</v>
      </c>
      <c r="E13" s="542" t="s">
        <v>256</v>
      </c>
      <c r="F13" s="542" t="s">
        <v>257</v>
      </c>
      <c r="G13" s="542" t="s">
        <v>258</v>
      </c>
      <c r="H13" s="542" t="s">
        <v>259</v>
      </c>
    </row>
    <row r="14" spans="1:8" s="205" customFormat="1" ht="15" customHeight="1" x14ac:dyDescent="0.2">
      <c r="B14" s="206" t="s">
        <v>25</v>
      </c>
      <c r="C14" s="966" t="s">
        <v>282</v>
      </c>
      <c r="D14" s="966"/>
      <c r="E14" s="966"/>
      <c r="F14" s="966"/>
      <c r="G14" s="966"/>
      <c r="H14" s="966"/>
    </row>
    <row r="15" spans="1:8" s="208" customFormat="1" x14ac:dyDescent="0.2">
      <c r="B15" s="207"/>
      <c r="C15" s="207" t="s">
        <v>1061</v>
      </c>
      <c r="D15" s="206">
        <v>1</v>
      </c>
      <c r="E15" s="207"/>
      <c r="F15" s="207"/>
      <c r="G15" s="545">
        <f>SUM(D15:F15)</f>
        <v>1</v>
      </c>
      <c r="H15" s="207"/>
    </row>
    <row r="16" spans="1:8" ht="14.25" x14ac:dyDescent="0.2">
      <c r="A16" s="199"/>
      <c r="B16" s="138"/>
      <c r="C16" s="207" t="s">
        <v>1062</v>
      </c>
      <c r="D16" s="540">
        <v>1</v>
      </c>
      <c r="E16" s="138"/>
      <c r="F16" s="138"/>
      <c r="G16" s="545">
        <f t="shared" ref="G16:G22" si="0">SUM(D16:F16)</f>
        <v>1</v>
      </c>
      <c r="H16" s="138"/>
    </row>
    <row r="17" spans="1:13" x14ac:dyDescent="0.2">
      <c r="B17" s="198"/>
      <c r="C17" s="138" t="s">
        <v>1065</v>
      </c>
      <c r="D17" s="540">
        <v>1</v>
      </c>
      <c r="E17" s="139"/>
      <c r="F17" s="139"/>
      <c r="G17" s="545">
        <f t="shared" si="0"/>
        <v>1</v>
      </c>
      <c r="H17" s="138"/>
    </row>
    <row r="18" spans="1:13" s="135" customFormat="1" x14ac:dyDescent="0.2">
      <c r="B18" s="138"/>
      <c r="C18" s="537" t="s">
        <v>1068</v>
      </c>
      <c r="D18" s="540"/>
      <c r="E18" s="138">
        <v>24</v>
      </c>
      <c r="F18" s="138"/>
      <c r="G18" s="545">
        <f t="shared" si="0"/>
        <v>24</v>
      </c>
      <c r="H18" s="137"/>
    </row>
    <row r="19" spans="1:13" s="135" customFormat="1" x14ac:dyDescent="0.2">
      <c r="B19" s="138"/>
      <c r="C19" s="537" t="s">
        <v>1070</v>
      </c>
      <c r="D19" s="540"/>
      <c r="E19" s="138"/>
      <c r="F19" s="138">
        <v>259</v>
      </c>
      <c r="G19" s="545">
        <f t="shared" si="0"/>
        <v>259</v>
      </c>
      <c r="H19" s="137"/>
    </row>
    <row r="20" spans="1:13" s="135" customFormat="1" x14ac:dyDescent="0.2">
      <c r="B20" s="138"/>
      <c r="C20" s="138" t="s">
        <v>1069</v>
      </c>
      <c r="D20" s="540"/>
      <c r="E20" s="138">
        <v>24</v>
      </c>
      <c r="F20" s="138"/>
      <c r="G20" s="545">
        <f t="shared" si="0"/>
        <v>24</v>
      </c>
      <c r="H20" s="137"/>
    </row>
    <row r="21" spans="1:13" s="135" customFormat="1" x14ac:dyDescent="0.2">
      <c r="B21" s="138"/>
      <c r="C21" s="537" t="s">
        <v>1066</v>
      </c>
      <c r="D21" s="540">
        <v>1</v>
      </c>
      <c r="E21" s="138"/>
      <c r="F21" s="138"/>
      <c r="G21" s="545">
        <f t="shared" si="0"/>
        <v>1</v>
      </c>
      <c r="H21" s="137"/>
    </row>
    <row r="22" spans="1:13" s="135" customFormat="1" x14ac:dyDescent="0.2">
      <c r="B22" s="138"/>
      <c r="C22" s="537" t="s">
        <v>1067</v>
      </c>
      <c r="D22" s="540">
        <v>1</v>
      </c>
      <c r="E22" s="138"/>
      <c r="F22" s="138"/>
      <c r="G22" s="545">
        <f t="shared" si="0"/>
        <v>1</v>
      </c>
      <c r="H22" s="137"/>
    </row>
    <row r="23" spans="1:13" s="135" customFormat="1" ht="21.75" customHeight="1" x14ac:dyDescent="0.2">
      <c r="B23" s="206" t="s">
        <v>29</v>
      </c>
      <c r="C23" s="966" t="s">
        <v>456</v>
      </c>
      <c r="D23" s="966"/>
      <c r="E23" s="966"/>
      <c r="F23" s="966"/>
      <c r="G23" s="966"/>
      <c r="H23" s="966"/>
      <c r="K23" s="543"/>
      <c r="L23" s="543"/>
      <c r="M23" s="543"/>
    </row>
    <row r="24" spans="1:13" s="135" customFormat="1" x14ac:dyDescent="0.2">
      <c r="A24" s="201" t="s">
        <v>272</v>
      </c>
      <c r="B24" s="200"/>
      <c r="C24" s="207" t="s">
        <v>1063</v>
      </c>
      <c r="D24" s="541">
        <v>5</v>
      </c>
      <c r="E24" s="200">
        <v>24</v>
      </c>
      <c r="F24" s="138">
        <v>259</v>
      </c>
      <c r="G24" s="200">
        <f>SUM(D24:F24)</f>
        <v>288</v>
      </c>
      <c r="H24" s="137"/>
      <c r="K24" s="544"/>
      <c r="L24" s="544"/>
      <c r="M24" s="544"/>
    </row>
    <row r="25" spans="1:13" x14ac:dyDescent="0.2">
      <c r="B25" s="138"/>
      <c r="C25" s="537" t="s">
        <v>1064</v>
      </c>
      <c r="D25" s="540">
        <v>1</v>
      </c>
      <c r="E25" s="138"/>
      <c r="F25" s="138"/>
      <c r="G25" s="200">
        <f>SUM(D25:F25)</f>
        <v>1</v>
      </c>
      <c r="H25" s="138"/>
      <c r="K25" s="194"/>
      <c r="L25" s="194"/>
      <c r="M25" s="194"/>
    </row>
    <row r="26" spans="1:13" x14ac:dyDescent="0.2">
      <c r="B26" s="138"/>
      <c r="C26" s="537"/>
      <c r="D26" s="540"/>
      <c r="E26" s="138"/>
      <c r="F26" s="138"/>
      <c r="G26" s="138"/>
      <c r="H26" s="138"/>
      <c r="K26" s="194"/>
      <c r="L26" s="194"/>
      <c r="M26" s="194"/>
    </row>
    <row r="27" spans="1:13" x14ac:dyDescent="0.2">
      <c r="B27" s="138"/>
      <c r="C27" s="537"/>
      <c r="D27" s="540"/>
      <c r="E27" s="138"/>
      <c r="F27" s="138"/>
      <c r="G27" s="138"/>
      <c r="H27" s="138"/>
      <c r="K27" s="194"/>
      <c r="L27" s="194"/>
      <c r="M27" s="194"/>
    </row>
    <row r="28" spans="1:13" x14ac:dyDescent="0.2">
      <c r="B28" s="138"/>
      <c r="C28" s="537"/>
      <c r="D28" s="540"/>
      <c r="E28" s="138"/>
      <c r="F28" s="138"/>
      <c r="G28" s="138"/>
      <c r="H28" s="138"/>
    </row>
    <row r="29" spans="1:13" x14ac:dyDescent="0.2">
      <c r="B29" s="138"/>
      <c r="C29" s="138"/>
      <c r="D29" s="540"/>
      <c r="E29" s="138"/>
      <c r="F29" s="138"/>
      <c r="G29" s="138"/>
      <c r="H29" s="138"/>
    </row>
    <row r="30" spans="1:13" x14ac:dyDescent="0.2">
      <c r="A30" s="194"/>
      <c r="B30" s="194"/>
      <c r="C30" s="194"/>
      <c r="D30" s="573"/>
      <c r="E30" s="194"/>
      <c r="F30" s="194"/>
      <c r="G30" s="194"/>
      <c r="H30" s="194"/>
    </row>
    <row r="31" spans="1:13" x14ac:dyDescent="0.2">
      <c r="A31" s="194"/>
      <c r="B31" s="194"/>
      <c r="C31" s="194"/>
      <c r="D31" s="573"/>
      <c r="E31" s="194"/>
      <c r="F31" s="194"/>
      <c r="G31" s="194"/>
      <c r="H31" s="194"/>
    </row>
    <row r="32" spans="1:13" x14ac:dyDescent="0.2">
      <c r="A32" s="194"/>
      <c r="B32" s="194"/>
      <c r="C32" s="194"/>
      <c r="D32" s="573"/>
      <c r="E32" s="194"/>
      <c r="F32" s="194"/>
      <c r="G32" s="194"/>
      <c r="H32" s="194"/>
    </row>
    <row r="33" spans="1:8" ht="12.75" customHeight="1" x14ac:dyDescent="0.2">
      <c r="A33" s="669"/>
      <c r="B33" s="669"/>
      <c r="C33" s="669"/>
      <c r="D33" s="965" t="s">
        <v>1107</v>
      </c>
      <c r="E33" s="965"/>
      <c r="F33" s="965"/>
      <c r="G33" s="965"/>
      <c r="H33" s="567"/>
    </row>
    <row r="34" spans="1:8" ht="12.75" customHeight="1" x14ac:dyDescent="0.2">
      <c r="A34" s="669"/>
      <c r="B34" s="669"/>
      <c r="C34" s="669"/>
      <c r="D34" s="865" t="s">
        <v>1108</v>
      </c>
      <c r="E34" s="865"/>
      <c r="F34" s="865"/>
      <c r="G34" s="865"/>
      <c r="H34" s="567"/>
    </row>
    <row r="35" spans="1:8" ht="12.75" customHeight="1" x14ac:dyDescent="0.2">
      <c r="A35" s="669"/>
      <c r="B35" s="669"/>
      <c r="C35" s="669"/>
      <c r="D35" s="865" t="s">
        <v>1113</v>
      </c>
      <c r="E35" s="865"/>
      <c r="F35" s="865"/>
      <c r="G35" s="865"/>
      <c r="H35" s="567"/>
    </row>
    <row r="36" spans="1:8" x14ac:dyDescent="0.2">
      <c r="A36" s="669"/>
      <c r="B36" s="186" t="s">
        <v>11</v>
      </c>
      <c r="C36" s="669"/>
      <c r="D36" s="669"/>
      <c r="E36" s="186" t="s">
        <v>1115</v>
      </c>
      <c r="F36" s="669"/>
      <c r="G36" s="669"/>
      <c r="H36" s="194"/>
    </row>
  </sheetData>
  <mergeCells count="12">
    <mergeCell ref="C11:C12"/>
    <mergeCell ref="D11:G11"/>
    <mergeCell ref="D33:G33"/>
    <mergeCell ref="D34:G34"/>
    <mergeCell ref="D35:G35"/>
    <mergeCell ref="C14:H14"/>
    <mergeCell ref="C23:H23"/>
    <mergeCell ref="A2:H2"/>
    <mergeCell ref="A3:H3"/>
    <mergeCell ref="A5:H5"/>
    <mergeCell ref="H11:H12"/>
    <mergeCell ref="B11:B1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topLeftCell="B17" zoomScaleNormal="100" zoomScaleSheetLayoutView="100" workbookViewId="0">
      <selection activeCell="B37" sqref="B37:J40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1.140625" customWidth="1"/>
  </cols>
  <sheetData>
    <row r="1" spans="1:9" ht="18" x14ac:dyDescent="0.35">
      <c r="A1" s="867" t="s">
        <v>0</v>
      </c>
      <c r="B1" s="867"/>
      <c r="C1" s="867"/>
      <c r="D1" s="867"/>
      <c r="E1" s="867"/>
      <c r="F1" s="867"/>
      <c r="H1" s="178" t="s">
        <v>637</v>
      </c>
    </row>
    <row r="2" spans="1:9" ht="21" x14ac:dyDescent="0.35">
      <c r="A2" s="868" t="s">
        <v>694</v>
      </c>
      <c r="B2" s="868"/>
      <c r="C2" s="868"/>
      <c r="D2" s="868"/>
      <c r="E2" s="868"/>
      <c r="F2" s="868"/>
      <c r="G2" s="868"/>
    </row>
    <row r="3" spans="1:9" ht="15" x14ac:dyDescent="0.3">
      <c r="A3" s="180"/>
      <c r="B3" s="180"/>
    </row>
    <row r="4" spans="1:9" ht="18" customHeight="1" x14ac:dyDescent="0.35">
      <c r="A4" s="869" t="s">
        <v>638</v>
      </c>
      <c r="B4" s="869"/>
      <c r="C4" s="869"/>
      <c r="D4" s="869"/>
      <c r="E4" s="869"/>
      <c r="F4" s="869"/>
      <c r="G4" s="869"/>
    </row>
    <row r="5" spans="1:9" x14ac:dyDescent="0.2">
      <c r="A5" s="191" t="s">
        <v>1098</v>
      </c>
      <c r="B5" s="191"/>
    </row>
    <row r="6" spans="1:9" ht="15" x14ac:dyDescent="0.3">
      <c r="A6" s="181"/>
      <c r="B6" s="181"/>
      <c r="F6" s="870" t="s">
        <v>772</v>
      </c>
      <c r="G6" s="870"/>
      <c r="H6" s="870"/>
    </row>
    <row r="7" spans="1:9" ht="59.25" customHeight="1" x14ac:dyDescent="0.2">
      <c r="A7" s="182" t="s">
        <v>1</v>
      </c>
      <c r="B7" s="262" t="s">
        <v>2</v>
      </c>
      <c r="C7" s="264" t="s">
        <v>639</v>
      </c>
      <c r="D7" s="264" t="s">
        <v>640</v>
      </c>
      <c r="E7" s="264" t="s">
        <v>641</v>
      </c>
      <c r="F7" s="264" t="s">
        <v>642</v>
      </c>
      <c r="G7" s="294" t="s">
        <v>695</v>
      </c>
      <c r="H7" s="249" t="s">
        <v>862</v>
      </c>
    </row>
    <row r="8" spans="1:9" s="178" customFormat="1" ht="15" x14ac:dyDescent="0.25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295" t="s">
        <v>259</v>
      </c>
      <c r="H8" s="215">
        <v>8</v>
      </c>
    </row>
    <row r="9" spans="1:9" s="178" customFormat="1" ht="15" x14ac:dyDescent="0.25">
      <c r="A9" s="253">
        <v>1</v>
      </c>
      <c r="B9" s="184" t="s">
        <v>875</v>
      </c>
      <c r="C9" s="404">
        <f>'AT-3'!F9</f>
        <v>2177</v>
      </c>
      <c r="D9" s="404">
        <v>1114</v>
      </c>
      <c r="E9" s="404">
        <v>15</v>
      </c>
      <c r="F9" s="404">
        <v>32</v>
      </c>
      <c r="G9" s="404">
        <v>1067</v>
      </c>
      <c r="H9" s="409" t="s">
        <v>943</v>
      </c>
      <c r="I9" s="648">
        <f>E9+F9+G9</f>
        <v>1114</v>
      </c>
    </row>
    <row r="10" spans="1:9" s="178" customFormat="1" ht="15" x14ac:dyDescent="0.25">
      <c r="A10" s="253">
        <v>2</v>
      </c>
      <c r="B10" s="184" t="s">
        <v>876</v>
      </c>
      <c r="C10" s="404">
        <f>'AT-3'!F10</f>
        <v>868</v>
      </c>
      <c r="D10" s="404">
        <v>495</v>
      </c>
      <c r="E10" s="404">
        <v>70</v>
      </c>
      <c r="F10" s="404">
        <v>0</v>
      </c>
      <c r="G10" s="404">
        <v>425</v>
      </c>
      <c r="H10" s="409" t="s">
        <v>944</v>
      </c>
      <c r="I10" s="648">
        <f t="shared" ref="I10:I32" si="0">E10+F10+G10</f>
        <v>495</v>
      </c>
    </row>
    <row r="11" spans="1:9" s="178" customFormat="1" ht="15" x14ac:dyDescent="0.25">
      <c r="A11" s="253">
        <v>3</v>
      </c>
      <c r="B11" s="184" t="s">
        <v>877</v>
      </c>
      <c r="C11" s="404">
        <f>'AT-3'!F11</f>
        <v>491</v>
      </c>
      <c r="D11" s="404">
        <v>311</v>
      </c>
      <c r="E11" s="404">
        <v>14</v>
      </c>
      <c r="F11" s="404">
        <v>56</v>
      </c>
      <c r="G11" s="404">
        <v>241</v>
      </c>
      <c r="H11" s="409" t="s">
        <v>1100</v>
      </c>
      <c r="I11" s="648">
        <f t="shared" si="0"/>
        <v>311</v>
      </c>
    </row>
    <row r="12" spans="1:9" s="178" customFormat="1" ht="15" x14ac:dyDescent="0.25">
      <c r="A12" s="253">
        <v>4</v>
      </c>
      <c r="B12" s="184" t="s">
        <v>878</v>
      </c>
      <c r="C12" s="404">
        <f>'AT-3'!F12</f>
        <v>1519</v>
      </c>
      <c r="D12" s="404">
        <v>801</v>
      </c>
      <c r="E12" s="404">
        <v>37</v>
      </c>
      <c r="F12" s="404">
        <v>20</v>
      </c>
      <c r="G12" s="404">
        <v>744</v>
      </c>
      <c r="H12" s="409" t="s">
        <v>945</v>
      </c>
      <c r="I12" s="648">
        <f t="shared" si="0"/>
        <v>801</v>
      </c>
    </row>
    <row r="13" spans="1:9" s="178" customFormat="1" ht="15" x14ac:dyDescent="0.25">
      <c r="A13" s="253">
        <v>5</v>
      </c>
      <c r="B13" s="184" t="s">
        <v>879</v>
      </c>
      <c r="C13" s="404">
        <f>'AT-3'!F13</f>
        <v>968</v>
      </c>
      <c r="D13" s="404">
        <v>522</v>
      </c>
      <c r="E13" s="404">
        <v>24</v>
      </c>
      <c r="F13" s="404">
        <v>24</v>
      </c>
      <c r="G13" s="404">
        <v>474</v>
      </c>
      <c r="H13" s="409" t="s">
        <v>946</v>
      </c>
      <c r="I13" s="648">
        <f t="shared" si="0"/>
        <v>522</v>
      </c>
    </row>
    <row r="14" spans="1:9" s="178" customFormat="1" ht="15" x14ac:dyDescent="0.25">
      <c r="A14" s="253">
        <v>6</v>
      </c>
      <c r="B14" s="184" t="s">
        <v>880</v>
      </c>
      <c r="C14" s="404">
        <f>'AT-3'!F14</f>
        <v>1621</v>
      </c>
      <c r="D14" s="404">
        <v>1011</v>
      </c>
      <c r="E14" s="404">
        <v>159</v>
      </c>
      <c r="F14" s="404">
        <v>58</v>
      </c>
      <c r="G14" s="404">
        <v>794</v>
      </c>
      <c r="H14" s="409" t="s">
        <v>947</v>
      </c>
      <c r="I14" s="648">
        <f t="shared" si="0"/>
        <v>1011</v>
      </c>
    </row>
    <row r="15" spans="1:9" s="178" customFormat="1" ht="15" x14ac:dyDescent="0.25">
      <c r="A15" s="253">
        <v>7</v>
      </c>
      <c r="B15" s="184" t="s">
        <v>881</v>
      </c>
      <c r="C15" s="404">
        <f>'AT-3'!F15</f>
        <v>1381</v>
      </c>
      <c r="D15" s="404">
        <v>919</v>
      </c>
      <c r="E15" s="404">
        <v>21</v>
      </c>
      <c r="F15" s="404">
        <v>221</v>
      </c>
      <c r="G15" s="404">
        <v>677</v>
      </c>
      <c r="H15" s="409" t="s">
        <v>948</v>
      </c>
      <c r="I15" s="648">
        <f t="shared" si="0"/>
        <v>919</v>
      </c>
    </row>
    <row r="16" spans="1:9" s="178" customFormat="1" ht="15" x14ac:dyDescent="0.25">
      <c r="A16" s="253">
        <v>8</v>
      </c>
      <c r="B16" s="184" t="s">
        <v>882</v>
      </c>
      <c r="C16" s="404">
        <f>'AT-3'!F16</f>
        <v>2066</v>
      </c>
      <c r="D16" s="404">
        <v>1052</v>
      </c>
      <c r="E16" s="404">
        <v>22</v>
      </c>
      <c r="F16" s="404">
        <v>18</v>
      </c>
      <c r="G16" s="404">
        <v>1012</v>
      </c>
      <c r="H16" s="409" t="s">
        <v>949</v>
      </c>
      <c r="I16" s="648">
        <f t="shared" si="0"/>
        <v>1052</v>
      </c>
    </row>
    <row r="17" spans="1:9" s="178" customFormat="1" ht="15" x14ac:dyDescent="0.25">
      <c r="A17" s="253">
        <v>9</v>
      </c>
      <c r="B17" s="184" t="s">
        <v>883</v>
      </c>
      <c r="C17" s="404">
        <f>'AT-3'!F17</f>
        <v>2499</v>
      </c>
      <c r="D17" s="404">
        <v>1505</v>
      </c>
      <c r="E17" s="404">
        <v>170</v>
      </c>
      <c r="F17" s="404">
        <v>110</v>
      </c>
      <c r="G17" s="404">
        <v>1225</v>
      </c>
      <c r="H17" s="409" t="s">
        <v>950</v>
      </c>
      <c r="I17" s="648">
        <f t="shared" si="0"/>
        <v>1505</v>
      </c>
    </row>
    <row r="18" spans="1:9" s="178" customFormat="1" ht="15" x14ac:dyDescent="0.25">
      <c r="A18" s="253">
        <v>10</v>
      </c>
      <c r="B18" s="184" t="s">
        <v>884</v>
      </c>
      <c r="C18" s="404">
        <f>'AT-3'!F18</f>
        <v>1037</v>
      </c>
      <c r="D18" s="404">
        <v>632</v>
      </c>
      <c r="E18" s="404">
        <v>61</v>
      </c>
      <c r="F18" s="404">
        <v>63</v>
      </c>
      <c r="G18" s="404">
        <v>508</v>
      </c>
      <c r="H18" s="409" t="s">
        <v>951</v>
      </c>
      <c r="I18" s="648">
        <f t="shared" si="0"/>
        <v>632</v>
      </c>
    </row>
    <row r="19" spans="1:9" s="178" customFormat="1" ht="15" x14ac:dyDescent="0.25">
      <c r="A19" s="253">
        <v>11</v>
      </c>
      <c r="B19" s="184" t="s">
        <v>885</v>
      </c>
      <c r="C19" s="404">
        <f>'AT-3'!F19</f>
        <v>1420</v>
      </c>
      <c r="D19" s="404">
        <v>804</v>
      </c>
      <c r="E19" s="404">
        <v>54</v>
      </c>
      <c r="F19" s="404">
        <v>54</v>
      </c>
      <c r="G19" s="404">
        <v>696</v>
      </c>
      <c r="H19" s="409" t="s">
        <v>952</v>
      </c>
      <c r="I19" s="648">
        <f t="shared" si="0"/>
        <v>804</v>
      </c>
    </row>
    <row r="20" spans="1:9" s="178" customFormat="1" ht="15" x14ac:dyDescent="0.25">
      <c r="A20" s="253">
        <v>12</v>
      </c>
      <c r="B20" s="241" t="s">
        <v>886</v>
      </c>
      <c r="C20" s="404">
        <f>'AT-3'!F20</f>
        <v>1479</v>
      </c>
      <c r="D20" s="404">
        <v>750</v>
      </c>
      <c r="E20" s="404">
        <v>7</v>
      </c>
      <c r="F20" s="404">
        <v>18</v>
      </c>
      <c r="G20" s="404">
        <v>725</v>
      </c>
      <c r="H20" s="409" t="s">
        <v>953</v>
      </c>
      <c r="I20" s="648">
        <f t="shared" si="0"/>
        <v>750</v>
      </c>
    </row>
    <row r="21" spans="1:9" s="178" customFormat="1" ht="15" x14ac:dyDescent="0.25">
      <c r="A21" s="253">
        <v>13</v>
      </c>
      <c r="B21" s="184" t="s">
        <v>887</v>
      </c>
      <c r="C21" s="404">
        <f>'AT-3'!F21</f>
        <v>587</v>
      </c>
      <c r="D21" s="404">
        <v>298</v>
      </c>
      <c r="E21" s="404">
        <v>0</v>
      </c>
      <c r="F21" s="404">
        <v>10</v>
      </c>
      <c r="G21" s="404">
        <v>288</v>
      </c>
      <c r="H21" s="409" t="s">
        <v>940</v>
      </c>
      <c r="I21" s="648">
        <f t="shared" si="0"/>
        <v>298</v>
      </c>
    </row>
    <row r="22" spans="1:9" s="178" customFormat="1" ht="15" x14ac:dyDescent="0.25">
      <c r="A22" s="253">
        <v>14</v>
      </c>
      <c r="B22" s="184" t="s">
        <v>888</v>
      </c>
      <c r="C22" s="404">
        <f>'AT-3'!F22</f>
        <v>659</v>
      </c>
      <c r="D22" s="404">
        <v>351</v>
      </c>
      <c r="E22" s="404">
        <v>16</v>
      </c>
      <c r="F22" s="404">
        <v>12</v>
      </c>
      <c r="G22" s="404">
        <v>323</v>
      </c>
      <c r="H22" s="409" t="s">
        <v>954</v>
      </c>
      <c r="I22" s="648">
        <f t="shared" si="0"/>
        <v>351</v>
      </c>
    </row>
    <row r="23" spans="1:9" s="178" customFormat="1" ht="15" x14ac:dyDescent="0.25">
      <c r="A23" s="253">
        <v>15</v>
      </c>
      <c r="B23" s="184" t="s">
        <v>889</v>
      </c>
      <c r="C23" s="404">
        <f>'AT-3'!F23</f>
        <v>1539</v>
      </c>
      <c r="D23" s="404">
        <v>754</v>
      </c>
      <c r="E23" s="404">
        <v>0</v>
      </c>
      <c r="F23" s="404">
        <v>0</v>
      </c>
      <c r="G23" s="404">
        <v>754</v>
      </c>
      <c r="H23" s="409" t="s">
        <v>955</v>
      </c>
      <c r="I23" s="648">
        <f t="shared" si="0"/>
        <v>754</v>
      </c>
    </row>
    <row r="24" spans="1:9" s="178" customFormat="1" ht="15" x14ac:dyDescent="0.25">
      <c r="A24" s="253">
        <v>16</v>
      </c>
      <c r="B24" s="184" t="s">
        <v>890</v>
      </c>
      <c r="C24" s="404">
        <f>'AT-3'!F24</f>
        <v>3136</v>
      </c>
      <c r="D24" s="404">
        <v>1604</v>
      </c>
      <c r="E24" s="404">
        <v>39</v>
      </c>
      <c r="F24" s="404">
        <v>28</v>
      </c>
      <c r="G24" s="404">
        <v>1537</v>
      </c>
      <c r="H24" s="409" t="s">
        <v>956</v>
      </c>
      <c r="I24" s="648">
        <f t="shared" si="0"/>
        <v>1604</v>
      </c>
    </row>
    <row r="25" spans="1:9" ht="15" x14ac:dyDescent="0.25">
      <c r="A25" s="253">
        <v>17</v>
      </c>
      <c r="B25" s="184" t="s">
        <v>891</v>
      </c>
      <c r="C25" s="404">
        <f>'AT-3'!F25</f>
        <v>1694</v>
      </c>
      <c r="D25" s="404">
        <v>860</v>
      </c>
      <c r="E25" s="404">
        <v>25</v>
      </c>
      <c r="F25" s="404">
        <v>5</v>
      </c>
      <c r="G25" s="404">
        <v>830</v>
      </c>
      <c r="H25" s="409" t="s">
        <v>957</v>
      </c>
      <c r="I25" s="648">
        <f t="shared" si="0"/>
        <v>860</v>
      </c>
    </row>
    <row r="26" spans="1:9" ht="15" x14ac:dyDescent="0.25">
      <c r="A26" s="253">
        <v>18</v>
      </c>
      <c r="B26" s="184" t="s">
        <v>892</v>
      </c>
      <c r="C26" s="404">
        <f>'AT-3'!F26</f>
        <v>1522</v>
      </c>
      <c r="D26" s="404">
        <v>786</v>
      </c>
      <c r="E26" s="404">
        <v>28</v>
      </c>
      <c r="F26" s="404">
        <v>12</v>
      </c>
      <c r="G26" s="404">
        <v>746</v>
      </c>
      <c r="H26" s="409" t="s">
        <v>958</v>
      </c>
      <c r="I26" s="648">
        <f t="shared" si="0"/>
        <v>786</v>
      </c>
    </row>
    <row r="27" spans="1:9" ht="15" x14ac:dyDescent="0.25">
      <c r="A27" s="253">
        <v>19</v>
      </c>
      <c r="B27" s="184" t="s">
        <v>893</v>
      </c>
      <c r="C27" s="404">
        <f>'AT-3'!F27</f>
        <v>2314</v>
      </c>
      <c r="D27" s="404">
        <v>1280</v>
      </c>
      <c r="E27" s="404">
        <v>6</v>
      </c>
      <c r="F27" s="404">
        <v>140</v>
      </c>
      <c r="G27" s="404">
        <v>1134</v>
      </c>
      <c r="H27" s="409" t="s">
        <v>959</v>
      </c>
      <c r="I27" s="648">
        <f t="shared" si="0"/>
        <v>1280</v>
      </c>
    </row>
    <row r="28" spans="1:9" ht="15" x14ac:dyDescent="0.25">
      <c r="A28" s="253">
        <v>20</v>
      </c>
      <c r="B28" s="184" t="s">
        <v>894</v>
      </c>
      <c r="C28" s="404">
        <f>'AT-3'!F28</f>
        <v>1015</v>
      </c>
      <c r="D28" s="404">
        <v>558</v>
      </c>
      <c r="E28" s="404">
        <v>21</v>
      </c>
      <c r="F28" s="404">
        <v>40</v>
      </c>
      <c r="G28" s="404">
        <v>497</v>
      </c>
      <c r="H28" s="409" t="s">
        <v>960</v>
      </c>
      <c r="I28" s="648">
        <f t="shared" si="0"/>
        <v>558</v>
      </c>
    </row>
    <row r="29" spans="1:9" ht="15" x14ac:dyDescent="0.25">
      <c r="A29" s="253">
        <v>21</v>
      </c>
      <c r="B29" s="184" t="s">
        <v>895</v>
      </c>
      <c r="C29" s="404">
        <f>'AT-3'!F29</f>
        <v>1286</v>
      </c>
      <c r="D29" s="404">
        <v>755</v>
      </c>
      <c r="E29" s="404">
        <v>17</v>
      </c>
      <c r="F29" s="404">
        <v>108</v>
      </c>
      <c r="G29" s="404">
        <v>630</v>
      </c>
      <c r="H29" s="409" t="s">
        <v>961</v>
      </c>
      <c r="I29" s="648">
        <f t="shared" si="0"/>
        <v>755</v>
      </c>
    </row>
    <row r="30" spans="1:9" ht="15" x14ac:dyDescent="0.25">
      <c r="A30" s="253">
        <v>22</v>
      </c>
      <c r="B30" s="184" t="s">
        <v>896</v>
      </c>
      <c r="C30" s="404">
        <f>'AT-3'!F30</f>
        <v>1011</v>
      </c>
      <c r="D30" s="404">
        <v>582</v>
      </c>
      <c r="E30" s="404">
        <v>20</v>
      </c>
      <c r="F30" s="404">
        <v>66</v>
      </c>
      <c r="G30" s="404">
        <v>496</v>
      </c>
      <c r="H30" s="409" t="s">
        <v>962</v>
      </c>
      <c r="I30" s="648">
        <f t="shared" si="0"/>
        <v>582</v>
      </c>
    </row>
    <row r="31" spans="1:9" ht="15" x14ac:dyDescent="0.25">
      <c r="A31" s="253">
        <v>23</v>
      </c>
      <c r="B31" s="184" t="s">
        <v>897</v>
      </c>
      <c r="C31" s="404">
        <f>'AT-3'!F31</f>
        <v>1540</v>
      </c>
      <c r="D31" s="404">
        <v>828</v>
      </c>
      <c r="E31" s="404">
        <v>15</v>
      </c>
      <c r="F31" s="404">
        <v>58</v>
      </c>
      <c r="G31" s="404">
        <v>755</v>
      </c>
      <c r="H31" s="409" t="s">
        <v>963</v>
      </c>
      <c r="I31" s="648">
        <f t="shared" si="0"/>
        <v>828</v>
      </c>
    </row>
    <row r="32" spans="1:9" ht="15" x14ac:dyDescent="0.25">
      <c r="A32" s="253">
        <v>24</v>
      </c>
      <c r="B32" s="184" t="s">
        <v>898</v>
      </c>
      <c r="C32" s="404">
        <f>'AT-3'!F32</f>
        <v>1945</v>
      </c>
      <c r="D32" s="404">
        <v>1077</v>
      </c>
      <c r="E32" s="404">
        <v>30</v>
      </c>
      <c r="F32" s="404">
        <v>93</v>
      </c>
      <c r="G32" s="404">
        <v>954</v>
      </c>
      <c r="H32" s="409" t="s">
        <v>964</v>
      </c>
      <c r="I32" s="648">
        <f t="shared" si="0"/>
        <v>1077</v>
      </c>
    </row>
    <row r="33" spans="1:13" s="14" customFormat="1" x14ac:dyDescent="0.2">
      <c r="A33" s="733" t="s">
        <v>15</v>
      </c>
      <c r="B33" s="735"/>
      <c r="C33" s="141">
        <f>SUM(C9:C32)</f>
        <v>35774</v>
      </c>
      <c r="D33" s="141">
        <f>SUM(D9:D32)</f>
        <v>19649</v>
      </c>
      <c r="E33" s="141">
        <f>SUM(E9:E32)</f>
        <v>871</v>
      </c>
      <c r="F33" s="141">
        <f>SUM(F9:F32)</f>
        <v>1246</v>
      </c>
      <c r="G33" s="629">
        <f>SUM(G9:G32)</f>
        <v>17532</v>
      </c>
      <c r="H33" s="141"/>
    </row>
    <row r="34" spans="1:13" x14ac:dyDescent="0.2">
      <c r="A34" s="185"/>
    </row>
    <row r="37" spans="1:13" ht="15" customHeight="1" x14ac:dyDescent="0.2">
      <c r="A37" s="567"/>
      <c r="B37" s="265"/>
      <c r="C37" s="265"/>
      <c r="D37" s="265"/>
      <c r="E37" s="265"/>
      <c r="F37" s="265"/>
      <c r="G37" s="884" t="s">
        <v>1107</v>
      </c>
      <c r="H37" s="884"/>
      <c r="I37" s="266"/>
      <c r="J37" s="266"/>
    </row>
    <row r="38" spans="1:13" ht="15" customHeight="1" x14ac:dyDescent="0.2">
      <c r="A38" s="567"/>
      <c r="B38" s="265"/>
      <c r="C38" s="265"/>
      <c r="D38" s="265"/>
      <c r="E38" s="265"/>
      <c r="F38" s="265"/>
      <c r="G38" s="884" t="s">
        <v>1108</v>
      </c>
      <c r="H38" s="884"/>
      <c r="I38" s="266"/>
      <c r="J38" s="266"/>
    </row>
    <row r="39" spans="1:13" ht="15" customHeight="1" x14ac:dyDescent="0.2">
      <c r="A39" s="567"/>
      <c r="B39" s="265"/>
      <c r="C39" s="265"/>
      <c r="D39" s="265"/>
      <c r="E39" s="265"/>
      <c r="F39" s="265"/>
      <c r="G39" s="974" t="s">
        <v>1113</v>
      </c>
      <c r="H39" s="974"/>
      <c r="I39" s="974"/>
      <c r="J39" s="974"/>
    </row>
    <row r="40" spans="1:13" x14ac:dyDescent="0.2">
      <c r="A40" s="194"/>
      <c r="B40" s="265" t="s">
        <v>11</v>
      </c>
      <c r="C40" s="669"/>
      <c r="D40" s="265"/>
      <c r="E40" s="265"/>
      <c r="F40" s="265"/>
      <c r="G40" s="973" t="s">
        <v>1110</v>
      </c>
      <c r="H40" s="973"/>
      <c r="I40" s="265"/>
      <c r="J40" s="265"/>
    </row>
    <row r="41" spans="1:13" x14ac:dyDescent="0.2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</sheetData>
  <mergeCells count="9">
    <mergeCell ref="G40:H40"/>
    <mergeCell ref="G37:H37"/>
    <mergeCell ref="G38:H38"/>
    <mergeCell ref="G39:J39"/>
    <mergeCell ref="A1:F1"/>
    <mergeCell ref="A2:G2"/>
    <mergeCell ref="A4:G4"/>
    <mergeCell ref="F6:H6"/>
    <mergeCell ref="A33:B33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topLeftCell="A19" zoomScaleNormal="100" zoomScaleSheetLayoutView="100" workbookViewId="0">
      <selection activeCell="B35" sqref="B35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 x14ac:dyDescent="0.35">
      <c r="A1" s="867" t="s">
        <v>0</v>
      </c>
      <c r="B1" s="867"/>
      <c r="C1" s="867"/>
      <c r="D1" s="867"/>
      <c r="E1" s="867"/>
      <c r="F1" s="867"/>
      <c r="H1" s="178" t="s">
        <v>863</v>
      </c>
    </row>
    <row r="2" spans="1:8" ht="21" x14ac:dyDescent="0.35">
      <c r="A2" s="868" t="s">
        <v>694</v>
      </c>
      <c r="B2" s="868"/>
      <c r="C2" s="868"/>
      <c r="D2" s="868"/>
      <c r="E2" s="868"/>
      <c r="F2" s="868"/>
      <c r="G2" s="868"/>
    </row>
    <row r="3" spans="1:8" ht="15" x14ac:dyDescent="0.3">
      <c r="A3" s="180"/>
      <c r="B3" s="180"/>
    </row>
    <row r="4" spans="1:8" ht="18" customHeight="1" x14ac:dyDescent="0.35">
      <c r="A4" s="869" t="s">
        <v>864</v>
      </c>
      <c r="B4" s="869"/>
      <c r="C4" s="869"/>
      <c r="D4" s="869"/>
      <c r="E4" s="869"/>
      <c r="F4" s="869"/>
      <c r="G4" s="869"/>
    </row>
    <row r="5" spans="1:8" x14ac:dyDescent="0.2">
      <c r="A5" s="191" t="s">
        <v>1098</v>
      </c>
      <c r="B5" s="191"/>
    </row>
    <row r="6" spans="1:8" ht="15" x14ac:dyDescent="0.3">
      <c r="A6" s="181"/>
      <c r="B6" s="181"/>
      <c r="F6" s="870" t="s">
        <v>772</v>
      </c>
      <c r="G6" s="870"/>
      <c r="H6" s="870"/>
    </row>
    <row r="7" spans="1:8" ht="59.25" customHeight="1" x14ac:dyDescent="0.2">
      <c r="A7" s="262" t="s">
        <v>1</v>
      </c>
      <c r="B7" s="262" t="s">
        <v>2</v>
      </c>
      <c r="C7" s="264" t="s">
        <v>865</v>
      </c>
      <c r="D7" s="264" t="s">
        <v>866</v>
      </c>
      <c r="E7" s="264" t="s">
        <v>867</v>
      </c>
      <c r="F7" s="264" t="s">
        <v>868</v>
      </c>
      <c r="G7" s="294" t="s">
        <v>869</v>
      </c>
      <c r="H7" s="249" t="s">
        <v>870</v>
      </c>
    </row>
    <row r="8" spans="1:8" s="178" customFormat="1" ht="15" x14ac:dyDescent="0.25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295" t="s">
        <v>259</v>
      </c>
      <c r="H8" s="215">
        <v>8</v>
      </c>
    </row>
    <row r="9" spans="1:8" s="178" customFormat="1" ht="15" x14ac:dyDescent="0.25">
      <c r="A9" s="253">
        <v>1</v>
      </c>
      <c r="B9" s="184" t="s">
        <v>875</v>
      </c>
      <c r="C9" s="404">
        <f>'AT-8_Hon_CCH_Pry'!D14</f>
        <v>4982</v>
      </c>
      <c r="D9" s="404">
        <v>0</v>
      </c>
      <c r="E9" s="404">
        <v>0</v>
      </c>
      <c r="F9" s="413" t="s">
        <v>6</v>
      </c>
      <c r="G9" s="414" t="s">
        <v>6</v>
      </c>
      <c r="H9" s="410"/>
    </row>
    <row r="10" spans="1:8" s="178" customFormat="1" ht="15" x14ac:dyDescent="0.25">
      <c r="A10" s="253">
        <v>2</v>
      </c>
      <c r="B10" s="184" t="s">
        <v>876</v>
      </c>
      <c r="C10" s="404">
        <f>'AT-8_Hon_CCH_Pry'!D15</f>
        <v>1627</v>
      </c>
      <c r="D10" s="404">
        <v>0</v>
      </c>
      <c r="E10" s="404">
        <v>0</v>
      </c>
      <c r="F10" s="413" t="s">
        <v>6</v>
      </c>
      <c r="G10" s="414" t="s">
        <v>6</v>
      </c>
      <c r="H10" s="410"/>
    </row>
    <row r="11" spans="1:8" s="178" customFormat="1" ht="15" x14ac:dyDescent="0.25">
      <c r="A11" s="253">
        <v>3</v>
      </c>
      <c r="B11" s="184" t="s">
        <v>877</v>
      </c>
      <c r="C11" s="404">
        <f>'AT-8_Hon_CCH_Pry'!D16</f>
        <v>1205</v>
      </c>
      <c r="D11" s="404">
        <v>0</v>
      </c>
      <c r="E11" s="404">
        <v>0</v>
      </c>
      <c r="F11" s="413" t="s">
        <v>6</v>
      </c>
      <c r="G11" s="414" t="s">
        <v>6</v>
      </c>
      <c r="H11" s="410"/>
    </row>
    <row r="12" spans="1:8" s="178" customFormat="1" ht="15" x14ac:dyDescent="0.25">
      <c r="A12" s="253">
        <v>4</v>
      </c>
      <c r="B12" s="184" t="s">
        <v>878</v>
      </c>
      <c r="C12" s="404">
        <f>'AT-8_Hon_CCH_Pry'!D17</f>
        <v>3686</v>
      </c>
      <c r="D12" s="404">
        <v>3686</v>
      </c>
      <c r="E12" s="404">
        <v>39</v>
      </c>
      <c r="F12" s="413" t="s">
        <v>965</v>
      </c>
      <c r="G12" s="414" t="s">
        <v>966</v>
      </c>
      <c r="H12" s="410"/>
    </row>
    <row r="13" spans="1:8" s="178" customFormat="1" ht="15" x14ac:dyDescent="0.25">
      <c r="A13" s="253">
        <v>5</v>
      </c>
      <c r="B13" s="184" t="s">
        <v>879</v>
      </c>
      <c r="C13" s="404">
        <f>'AT-8_Hon_CCH_Pry'!D18</f>
        <v>2093</v>
      </c>
      <c r="D13" s="404">
        <v>0</v>
      </c>
      <c r="E13" s="404">
        <v>0</v>
      </c>
      <c r="F13" s="413" t="s">
        <v>6</v>
      </c>
      <c r="G13" s="414" t="s">
        <v>6</v>
      </c>
      <c r="H13" s="410"/>
    </row>
    <row r="14" spans="1:8" s="178" customFormat="1" ht="15" x14ac:dyDescent="0.25">
      <c r="A14" s="253">
        <v>6</v>
      </c>
      <c r="B14" s="184" t="s">
        <v>880</v>
      </c>
      <c r="C14" s="404">
        <f>'AT-8_Hon_CCH_Pry'!D19</f>
        <v>3467</v>
      </c>
      <c r="D14" s="404">
        <v>0</v>
      </c>
      <c r="E14" s="404">
        <v>0</v>
      </c>
      <c r="F14" s="413" t="s">
        <v>6</v>
      </c>
      <c r="G14" s="414" t="s">
        <v>6</v>
      </c>
      <c r="H14" s="410"/>
    </row>
    <row r="15" spans="1:8" s="178" customFormat="1" ht="15" x14ac:dyDescent="0.25">
      <c r="A15" s="253">
        <v>7</v>
      </c>
      <c r="B15" s="184" t="s">
        <v>881</v>
      </c>
      <c r="C15" s="404">
        <f>'AT-8_Hon_CCH_Pry'!D20</f>
        <v>2687</v>
      </c>
      <c r="D15" s="404">
        <v>0</v>
      </c>
      <c r="E15" s="404">
        <v>0</v>
      </c>
      <c r="F15" s="413" t="s">
        <v>6</v>
      </c>
      <c r="G15" s="414" t="s">
        <v>6</v>
      </c>
      <c r="H15" s="410"/>
    </row>
    <row r="16" spans="1:8" s="178" customFormat="1" ht="15" x14ac:dyDescent="0.25">
      <c r="A16" s="253">
        <v>8</v>
      </c>
      <c r="B16" s="184" t="s">
        <v>882</v>
      </c>
      <c r="C16" s="404">
        <f>'AT-8_Hon_CCH_Pry'!D21</f>
        <v>3717</v>
      </c>
      <c r="D16" s="404">
        <v>0</v>
      </c>
      <c r="E16" s="404">
        <v>0</v>
      </c>
      <c r="F16" s="413" t="s">
        <v>6</v>
      </c>
      <c r="G16" s="414" t="s">
        <v>6</v>
      </c>
      <c r="H16" s="410"/>
    </row>
    <row r="17" spans="1:8" s="178" customFormat="1" ht="15" x14ac:dyDescent="0.25">
      <c r="A17" s="253">
        <v>9</v>
      </c>
      <c r="B17" s="184" t="s">
        <v>883</v>
      </c>
      <c r="C17" s="404">
        <f>'AT-8_Hon_CCH_Pry'!D22</f>
        <v>5569</v>
      </c>
      <c r="D17" s="404">
        <v>5489</v>
      </c>
      <c r="E17" s="404">
        <v>40</v>
      </c>
      <c r="F17" s="413" t="s">
        <v>965</v>
      </c>
      <c r="G17" s="414" t="s">
        <v>966</v>
      </c>
      <c r="H17" s="410"/>
    </row>
    <row r="18" spans="1:8" s="178" customFormat="1" ht="15" x14ac:dyDescent="0.25">
      <c r="A18" s="253">
        <v>10</v>
      </c>
      <c r="B18" s="184" t="s">
        <v>884</v>
      </c>
      <c r="C18" s="404">
        <f>'AT-8_Hon_CCH_Pry'!D23</f>
        <v>2421</v>
      </c>
      <c r="D18" s="404">
        <v>0</v>
      </c>
      <c r="E18" s="404">
        <v>0</v>
      </c>
      <c r="F18" s="413" t="s">
        <v>6</v>
      </c>
      <c r="G18" s="414" t="s">
        <v>6</v>
      </c>
      <c r="H18" s="410"/>
    </row>
    <row r="19" spans="1:8" s="178" customFormat="1" ht="15" x14ac:dyDescent="0.25">
      <c r="A19" s="253">
        <v>11</v>
      </c>
      <c r="B19" s="184" t="s">
        <v>885</v>
      </c>
      <c r="C19" s="404">
        <f>'AT-8_Hon_CCH_Pry'!D24</f>
        <v>3429</v>
      </c>
      <c r="D19" s="404">
        <v>0</v>
      </c>
      <c r="E19" s="404">
        <v>0</v>
      </c>
      <c r="F19" s="413" t="s">
        <v>6</v>
      </c>
      <c r="G19" s="414" t="s">
        <v>6</v>
      </c>
      <c r="H19" s="410"/>
    </row>
    <row r="20" spans="1:8" s="178" customFormat="1" ht="15" x14ac:dyDescent="0.25">
      <c r="A20" s="253">
        <v>12</v>
      </c>
      <c r="B20" s="241" t="s">
        <v>886</v>
      </c>
      <c r="C20" s="404">
        <f>'AT-8_Hon_CCH_Pry'!D25</f>
        <v>3445</v>
      </c>
      <c r="D20" s="404">
        <v>0</v>
      </c>
      <c r="E20" s="404">
        <v>0</v>
      </c>
      <c r="F20" s="413" t="s">
        <v>6</v>
      </c>
      <c r="G20" s="414" t="s">
        <v>6</v>
      </c>
      <c r="H20" s="410"/>
    </row>
    <row r="21" spans="1:8" s="178" customFormat="1" ht="15" x14ac:dyDescent="0.25">
      <c r="A21" s="253">
        <v>13</v>
      </c>
      <c r="B21" s="184" t="s">
        <v>887</v>
      </c>
      <c r="C21" s="404">
        <f>'AT-8_Hon_CCH_Pry'!D26</f>
        <v>1704</v>
      </c>
      <c r="D21" s="404">
        <v>0</v>
      </c>
      <c r="E21" s="404">
        <v>0</v>
      </c>
      <c r="F21" s="413" t="s">
        <v>6</v>
      </c>
      <c r="G21" s="414" t="s">
        <v>6</v>
      </c>
      <c r="H21" s="410"/>
    </row>
    <row r="22" spans="1:8" s="178" customFormat="1" ht="15" x14ac:dyDescent="0.25">
      <c r="A22" s="253">
        <v>14</v>
      </c>
      <c r="B22" s="184" t="s">
        <v>888</v>
      </c>
      <c r="C22" s="404">
        <f>'AT-8_Hon_CCH_Pry'!D27</f>
        <v>1506</v>
      </c>
      <c r="D22" s="404">
        <v>0</v>
      </c>
      <c r="E22" s="404">
        <v>0</v>
      </c>
      <c r="F22" s="413" t="s">
        <v>6</v>
      </c>
      <c r="G22" s="414" t="s">
        <v>6</v>
      </c>
      <c r="H22" s="410"/>
    </row>
    <row r="23" spans="1:8" s="178" customFormat="1" ht="15" x14ac:dyDescent="0.25">
      <c r="A23" s="253">
        <v>15</v>
      </c>
      <c r="B23" s="184" t="s">
        <v>889</v>
      </c>
      <c r="C23" s="404">
        <f>'AT-8_Hon_CCH_Pry'!D28</f>
        <v>3918</v>
      </c>
      <c r="D23" s="404">
        <v>0</v>
      </c>
      <c r="E23" s="404">
        <v>0</v>
      </c>
      <c r="F23" s="413" t="s">
        <v>6</v>
      </c>
      <c r="G23" s="414" t="s">
        <v>6</v>
      </c>
      <c r="H23" s="410"/>
    </row>
    <row r="24" spans="1:8" s="178" customFormat="1" ht="15" x14ac:dyDescent="0.25">
      <c r="A24" s="253">
        <v>16</v>
      </c>
      <c r="B24" s="184" t="s">
        <v>890</v>
      </c>
      <c r="C24" s="404">
        <f>'AT-8_Hon_CCH_Pry'!D29</f>
        <v>6959</v>
      </c>
      <c r="D24" s="404">
        <v>0</v>
      </c>
      <c r="E24" s="404">
        <v>0</v>
      </c>
      <c r="F24" s="413" t="s">
        <v>6</v>
      </c>
      <c r="G24" s="414" t="s">
        <v>6</v>
      </c>
      <c r="H24" s="410"/>
    </row>
    <row r="25" spans="1:8" s="178" customFormat="1" ht="15" x14ac:dyDescent="0.25">
      <c r="A25" s="253">
        <v>17</v>
      </c>
      <c r="B25" s="184" t="s">
        <v>891</v>
      </c>
      <c r="C25" s="404">
        <f>'AT-8_Hon_CCH_Pry'!D30</f>
        <v>3771</v>
      </c>
      <c r="D25" s="404">
        <v>0</v>
      </c>
      <c r="E25" s="404">
        <v>0</v>
      </c>
      <c r="F25" s="413" t="s">
        <v>6</v>
      </c>
      <c r="G25" s="414" t="s">
        <v>6</v>
      </c>
      <c r="H25" s="410"/>
    </row>
    <row r="26" spans="1:8" ht="15" x14ac:dyDescent="0.25">
      <c r="A26" s="253">
        <v>18</v>
      </c>
      <c r="B26" s="184" t="s">
        <v>892</v>
      </c>
      <c r="C26" s="404">
        <f>'AT-8_Hon_CCH_Pry'!D31</f>
        <v>3862</v>
      </c>
      <c r="D26" s="404">
        <v>0</v>
      </c>
      <c r="E26" s="404">
        <v>0</v>
      </c>
      <c r="F26" s="413" t="s">
        <v>6</v>
      </c>
      <c r="G26" s="414" t="s">
        <v>6</v>
      </c>
      <c r="H26" s="245"/>
    </row>
    <row r="27" spans="1:8" ht="15" x14ac:dyDescent="0.25">
      <c r="A27" s="253">
        <v>19</v>
      </c>
      <c r="B27" s="184" t="s">
        <v>893</v>
      </c>
      <c r="C27" s="404">
        <f>'AT-8_Hon_CCH_Pry'!D32</f>
        <v>4640</v>
      </c>
      <c r="D27" s="404">
        <v>0</v>
      </c>
      <c r="E27" s="404">
        <v>0</v>
      </c>
      <c r="F27" s="413" t="s">
        <v>6</v>
      </c>
      <c r="G27" s="414" t="s">
        <v>6</v>
      </c>
      <c r="H27" s="245"/>
    </row>
    <row r="28" spans="1:8" ht="15" x14ac:dyDescent="0.25">
      <c r="A28" s="253">
        <v>20</v>
      </c>
      <c r="B28" s="184" t="s">
        <v>894</v>
      </c>
      <c r="C28" s="404">
        <f>'AT-8_Hon_CCH_Pry'!D33</f>
        <v>2202</v>
      </c>
      <c r="D28" s="404">
        <v>0</v>
      </c>
      <c r="E28" s="404">
        <v>0</v>
      </c>
      <c r="F28" s="413" t="s">
        <v>6</v>
      </c>
      <c r="G28" s="414" t="s">
        <v>6</v>
      </c>
      <c r="H28" s="245"/>
    </row>
    <row r="29" spans="1:8" ht="15" x14ac:dyDescent="0.25">
      <c r="A29" s="253">
        <v>21</v>
      </c>
      <c r="B29" s="184" t="s">
        <v>895</v>
      </c>
      <c r="C29" s="404">
        <f>'AT-8_Hon_CCH_Pry'!D34</f>
        <v>3185</v>
      </c>
      <c r="D29" s="404">
        <v>0</v>
      </c>
      <c r="E29" s="404">
        <v>0</v>
      </c>
      <c r="F29" s="413" t="s">
        <v>6</v>
      </c>
      <c r="G29" s="414" t="s">
        <v>6</v>
      </c>
      <c r="H29" s="245"/>
    </row>
    <row r="30" spans="1:8" ht="15" x14ac:dyDescent="0.25">
      <c r="A30" s="253">
        <v>22</v>
      </c>
      <c r="B30" s="184" t="s">
        <v>896</v>
      </c>
      <c r="C30" s="404">
        <f>'AT-8_Hon_CCH_Pry'!D35</f>
        <v>2068</v>
      </c>
      <c r="D30" s="404">
        <v>0</v>
      </c>
      <c r="E30" s="404">
        <v>0</v>
      </c>
      <c r="F30" s="413" t="s">
        <v>6</v>
      </c>
      <c r="G30" s="414" t="s">
        <v>6</v>
      </c>
      <c r="H30" s="245"/>
    </row>
    <row r="31" spans="1:8" ht="15" x14ac:dyDescent="0.25">
      <c r="A31" s="253">
        <v>23</v>
      </c>
      <c r="B31" s="184" t="s">
        <v>897</v>
      </c>
      <c r="C31" s="404">
        <f>'AT-8_Hon_CCH_Pry'!D36</f>
        <v>3206</v>
      </c>
      <c r="D31" s="404">
        <v>0</v>
      </c>
      <c r="E31" s="404">
        <v>0</v>
      </c>
      <c r="F31" s="413" t="s">
        <v>6</v>
      </c>
      <c r="G31" s="414" t="s">
        <v>6</v>
      </c>
      <c r="H31" s="245"/>
    </row>
    <row r="32" spans="1:8" ht="15" x14ac:dyDescent="0.25">
      <c r="A32" s="253">
        <v>24</v>
      </c>
      <c r="B32" s="184" t="s">
        <v>898</v>
      </c>
      <c r="C32" s="404">
        <f>'AT-8_Hon_CCH_Pry'!D37</f>
        <v>4242</v>
      </c>
      <c r="D32" s="407">
        <v>4242</v>
      </c>
      <c r="E32" s="407">
        <v>30</v>
      </c>
      <c r="F32" s="407" t="s">
        <v>965</v>
      </c>
      <c r="G32" s="408" t="s">
        <v>966</v>
      </c>
      <c r="H32" s="245"/>
    </row>
    <row r="33" spans="1:13" s="412" customFormat="1" x14ac:dyDescent="0.2">
      <c r="A33" s="975" t="s">
        <v>15</v>
      </c>
      <c r="B33" s="976"/>
      <c r="C33" s="141">
        <f>SUM(C9:C32)</f>
        <v>79591</v>
      </c>
      <c r="D33" s="141">
        <f>SUM(D12:D32)</f>
        <v>13417</v>
      </c>
      <c r="E33" s="141">
        <f>SUM(E12:E32)</f>
        <v>109</v>
      </c>
      <c r="F33" s="141"/>
      <c r="G33" s="411"/>
      <c r="H33" s="141"/>
    </row>
    <row r="34" spans="1:13" x14ac:dyDescent="0.2">
      <c r="A34" s="185"/>
    </row>
    <row r="35" spans="1:13" x14ac:dyDescent="0.2">
      <c r="B35" s="661" t="s">
        <v>1103</v>
      </c>
    </row>
    <row r="37" spans="1:13" ht="15" customHeight="1" x14ac:dyDescent="0.2">
      <c r="A37" s="265"/>
      <c r="B37" s="265"/>
      <c r="C37" s="265"/>
      <c r="D37" s="265"/>
      <c r="E37" s="265"/>
      <c r="F37" s="884" t="s">
        <v>1107</v>
      </c>
      <c r="G37" s="884"/>
      <c r="H37" s="266"/>
      <c r="I37" s="266"/>
    </row>
    <row r="38" spans="1:13" ht="15" customHeight="1" x14ac:dyDescent="0.2">
      <c r="A38" s="265"/>
      <c r="B38" s="265"/>
      <c r="C38" s="265"/>
      <c r="D38" s="265"/>
      <c r="E38" s="265"/>
      <c r="F38" s="884" t="s">
        <v>1108</v>
      </c>
      <c r="G38" s="884"/>
      <c r="H38" s="266"/>
      <c r="I38" s="266"/>
    </row>
    <row r="39" spans="1:13" ht="15" customHeight="1" x14ac:dyDescent="0.2">
      <c r="A39" s="265"/>
      <c r="B39" s="265"/>
      <c r="C39" s="265"/>
      <c r="D39" s="265"/>
      <c r="E39" s="265"/>
      <c r="F39" s="974" t="s">
        <v>1113</v>
      </c>
      <c r="G39" s="974"/>
      <c r="H39" s="974"/>
      <c r="I39" s="974"/>
    </row>
    <row r="40" spans="1:13" x14ac:dyDescent="0.2">
      <c r="A40" s="265" t="s">
        <v>11</v>
      </c>
      <c r="B40" s="669"/>
      <c r="C40" s="265"/>
      <c r="D40" s="265"/>
      <c r="E40" s="265"/>
      <c r="F40" s="973" t="s">
        <v>1110</v>
      </c>
      <c r="G40" s="973"/>
      <c r="H40" s="265"/>
      <c r="I40" s="265"/>
    </row>
    <row r="41" spans="1:13" x14ac:dyDescent="0.2">
      <c r="A41" s="194"/>
      <c r="B41" s="194"/>
      <c r="C41" s="194"/>
      <c r="D41" s="194"/>
      <c r="E41" s="194"/>
      <c r="F41" s="194"/>
      <c r="G41" s="194"/>
      <c r="H41" s="194"/>
      <c r="I41" s="265"/>
      <c r="J41" s="265"/>
      <c r="K41" s="265"/>
      <c r="L41" s="265"/>
      <c r="M41" s="265"/>
    </row>
  </sheetData>
  <mergeCells count="9">
    <mergeCell ref="F39:I39"/>
    <mergeCell ref="F40:G40"/>
    <mergeCell ref="A1:F1"/>
    <mergeCell ref="A2:G2"/>
    <mergeCell ref="A4:G4"/>
    <mergeCell ref="F6:H6"/>
    <mergeCell ref="A33:B33"/>
    <mergeCell ref="F37:G37"/>
    <mergeCell ref="F38:G38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topLeftCell="A12" zoomScale="115" zoomScaleNormal="100" zoomScaleSheetLayoutView="115" workbookViewId="0">
      <selection activeCell="C27" sqref="C27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11.7109375" customWidth="1"/>
    <col min="8" max="8" width="13.8554687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792"/>
      <c r="E1" s="792"/>
      <c r="H1" s="39"/>
      <c r="I1" s="871" t="s">
        <v>64</v>
      </c>
      <c r="J1" s="871"/>
    </row>
    <row r="2" spans="1:19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9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</row>
    <row r="4" spans="1:19" ht="10.5" customHeight="1" x14ac:dyDescent="0.2"/>
    <row r="5" spans="1:19" s="15" customFormat="1" ht="24.75" customHeight="1" x14ac:dyDescent="0.25">
      <c r="A5" s="980" t="s">
        <v>428</v>
      </c>
      <c r="B5" s="980"/>
      <c r="C5" s="980"/>
      <c r="D5" s="980"/>
      <c r="E5" s="980"/>
      <c r="F5" s="980"/>
      <c r="G5" s="980"/>
      <c r="H5" s="980"/>
      <c r="I5" s="980"/>
      <c r="J5" s="980"/>
      <c r="K5" s="980"/>
    </row>
    <row r="6" spans="1:19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 x14ac:dyDescent="0.2">
      <c r="A7" s="191" t="s">
        <v>1098</v>
      </c>
      <c r="B7" s="191"/>
      <c r="E7" s="927"/>
      <c r="F7" s="927"/>
      <c r="G7" s="927"/>
      <c r="H7" s="927"/>
      <c r="I7" s="927" t="s">
        <v>774</v>
      </c>
      <c r="J7" s="927"/>
      <c r="K7" s="927"/>
    </row>
    <row r="8" spans="1:19" s="13" customFormat="1" ht="15.75" x14ac:dyDescent="0.25">
      <c r="C8" s="878" t="s">
        <v>12</v>
      </c>
      <c r="D8" s="878"/>
      <c r="E8" s="878"/>
      <c r="F8" s="878"/>
      <c r="G8" s="878"/>
      <c r="H8" s="878"/>
      <c r="I8" s="878"/>
      <c r="J8" s="878"/>
    </row>
    <row r="9" spans="1:19" ht="44.25" customHeight="1" x14ac:dyDescent="0.2">
      <c r="A9" s="727" t="s">
        <v>19</v>
      </c>
      <c r="B9" s="727" t="s">
        <v>54</v>
      </c>
      <c r="C9" s="770" t="s">
        <v>454</v>
      </c>
      <c r="D9" s="772"/>
      <c r="E9" s="770" t="s">
        <v>34</v>
      </c>
      <c r="F9" s="772"/>
      <c r="G9" s="770" t="s">
        <v>35</v>
      </c>
      <c r="H9" s="772"/>
      <c r="I9" s="775" t="s">
        <v>100</v>
      </c>
      <c r="J9" s="775"/>
      <c r="K9" s="727" t="s">
        <v>506</v>
      </c>
      <c r="R9" s="9"/>
      <c r="S9" s="12"/>
    </row>
    <row r="10" spans="1:19" s="14" customFormat="1" ht="42.6" customHeight="1" x14ac:dyDescent="0.2">
      <c r="A10" s="728"/>
      <c r="B10" s="728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728"/>
    </row>
    <row r="11" spans="1:19" x14ac:dyDescent="0.2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3">
        <v>11</v>
      </c>
    </row>
    <row r="12" spans="1:19" ht="15.75" customHeight="1" x14ac:dyDescent="0.2">
      <c r="A12" s="8">
        <v>1</v>
      </c>
      <c r="B12" s="17" t="s">
        <v>367</v>
      </c>
      <c r="C12" s="630">
        <v>5537</v>
      </c>
      <c r="D12" s="628">
        <v>3322.2</v>
      </c>
      <c r="E12" s="977">
        <v>18140</v>
      </c>
      <c r="F12" s="977">
        <v>10884</v>
      </c>
      <c r="G12" s="977">
        <v>341</v>
      </c>
      <c r="H12" s="977">
        <v>204.6</v>
      </c>
      <c r="I12" s="977">
        <v>1920</v>
      </c>
      <c r="J12" s="981">
        <v>1152</v>
      </c>
      <c r="K12" s="977">
        <v>2143</v>
      </c>
    </row>
    <row r="13" spans="1:19" ht="15.75" customHeight="1" x14ac:dyDescent="0.2">
      <c r="A13" s="8">
        <v>2</v>
      </c>
      <c r="B13" s="17" t="s">
        <v>368</v>
      </c>
      <c r="C13" s="630">
        <v>10354</v>
      </c>
      <c r="D13" s="628">
        <v>6212.4</v>
      </c>
      <c r="E13" s="978"/>
      <c r="F13" s="978"/>
      <c r="G13" s="978"/>
      <c r="H13" s="978"/>
      <c r="I13" s="978"/>
      <c r="J13" s="982"/>
      <c r="K13" s="978"/>
    </row>
    <row r="14" spans="1:19" ht="15.75" customHeight="1" x14ac:dyDescent="0.2">
      <c r="A14" s="8">
        <v>3</v>
      </c>
      <c r="B14" s="17" t="s">
        <v>369</v>
      </c>
      <c r="C14" s="630">
        <v>4510</v>
      </c>
      <c r="D14" s="628">
        <v>2706</v>
      </c>
      <c r="E14" s="979"/>
      <c r="F14" s="979"/>
      <c r="G14" s="979"/>
      <c r="H14" s="979"/>
      <c r="I14" s="979"/>
      <c r="J14" s="983"/>
      <c r="K14" s="978"/>
    </row>
    <row r="15" spans="1:19" ht="15.75" customHeight="1" x14ac:dyDescent="0.2">
      <c r="A15" s="8">
        <v>4</v>
      </c>
      <c r="B15" s="17" t="s">
        <v>370</v>
      </c>
      <c r="C15" s="630">
        <v>2000</v>
      </c>
      <c r="D15" s="628">
        <v>3270</v>
      </c>
      <c r="E15" s="626">
        <v>1668</v>
      </c>
      <c r="F15" s="346">
        <v>2727.18</v>
      </c>
      <c r="G15" s="626">
        <v>52</v>
      </c>
      <c r="H15" s="346">
        <v>85.02</v>
      </c>
      <c r="I15" s="626">
        <v>280</v>
      </c>
      <c r="J15" s="346">
        <v>457.8</v>
      </c>
      <c r="K15" s="978"/>
    </row>
    <row r="16" spans="1:19" ht="15.75" customHeight="1" x14ac:dyDescent="0.2">
      <c r="A16" s="8">
        <v>5</v>
      </c>
      <c r="B16" s="17" t="s">
        <v>371</v>
      </c>
      <c r="C16" s="630">
        <v>0</v>
      </c>
      <c r="D16" s="628">
        <v>0</v>
      </c>
      <c r="E16" s="626">
        <v>0</v>
      </c>
      <c r="F16" s="346">
        <v>0</v>
      </c>
      <c r="G16" s="626">
        <v>0</v>
      </c>
      <c r="H16" s="346">
        <v>0</v>
      </c>
      <c r="I16" s="626">
        <v>0</v>
      </c>
      <c r="J16" s="346">
        <v>0</v>
      </c>
      <c r="K16" s="978"/>
    </row>
    <row r="17" spans="1:16" ht="15.75" customHeight="1" x14ac:dyDescent="0.2">
      <c r="A17" s="8">
        <v>6</v>
      </c>
      <c r="B17" s="17" t="s">
        <v>372</v>
      </c>
      <c r="C17" s="345">
        <v>16600</v>
      </c>
      <c r="D17" s="346">
        <v>25334.89</v>
      </c>
      <c r="E17" s="626">
        <v>9848</v>
      </c>
      <c r="F17" s="346">
        <v>14416.92</v>
      </c>
      <c r="G17" s="626">
        <v>810</v>
      </c>
      <c r="H17" s="346">
        <v>1297.83</v>
      </c>
      <c r="I17" s="626">
        <v>5942</v>
      </c>
      <c r="J17" s="346">
        <v>9620.14</v>
      </c>
      <c r="K17" s="979"/>
    </row>
    <row r="18" spans="1:16" ht="15.75" customHeight="1" x14ac:dyDescent="0.2">
      <c r="A18" s="8">
        <v>7</v>
      </c>
      <c r="B18" s="17" t="s">
        <v>373</v>
      </c>
      <c r="C18" s="345"/>
      <c r="D18" s="346"/>
      <c r="E18" s="627"/>
      <c r="F18" s="628"/>
      <c r="G18" s="627"/>
      <c r="H18" s="628"/>
      <c r="I18" s="627"/>
      <c r="J18" s="628"/>
      <c r="K18" s="631"/>
    </row>
    <row r="19" spans="1:16" s="12" customFormat="1" ht="15.75" customHeight="1" x14ac:dyDescent="0.2">
      <c r="A19" s="8">
        <v>8</v>
      </c>
      <c r="B19" s="17" t="s">
        <v>243</v>
      </c>
      <c r="C19" s="9"/>
      <c r="D19" s="9"/>
      <c r="E19" s="9"/>
      <c r="F19" s="9"/>
      <c r="G19" s="9"/>
      <c r="H19" s="9"/>
      <c r="I19" s="9"/>
      <c r="J19" s="9"/>
      <c r="K19" s="631"/>
    </row>
    <row r="20" spans="1:16" s="12" customFormat="1" ht="15.75" customHeight="1" x14ac:dyDescent="0.2">
      <c r="A20" s="8">
        <v>9</v>
      </c>
      <c r="B20" s="17" t="s">
        <v>348</v>
      </c>
      <c r="C20" s="9"/>
      <c r="D20" s="9"/>
      <c r="E20" s="9"/>
      <c r="F20" s="9"/>
      <c r="G20" s="9"/>
      <c r="H20" s="9"/>
      <c r="I20" s="9"/>
      <c r="J20" s="9"/>
      <c r="K20" s="631"/>
    </row>
    <row r="21" spans="1:16" s="12" customFormat="1" ht="15.75" customHeight="1" x14ac:dyDescent="0.2">
      <c r="A21" s="8">
        <v>10</v>
      </c>
      <c r="B21" s="17" t="s">
        <v>505</v>
      </c>
      <c r="C21" s="9"/>
      <c r="D21" s="9"/>
      <c r="E21" s="9"/>
      <c r="F21" s="9"/>
      <c r="G21" s="9"/>
      <c r="H21" s="9"/>
      <c r="I21" s="9"/>
      <c r="J21" s="9"/>
      <c r="K21" s="631"/>
    </row>
    <row r="22" spans="1:16" s="12" customFormat="1" ht="15.75" customHeight="1" x14ac:dyDescent="0.2">
      <c r="A22" s="8">
        <v>11</v>
      </c>
      <c r="B22" s="17" t="s">
        <v>466</v>
      </c>
      <c r="C22" s="9"/>
      <c r="D22" s="9"/>
      <c r="E22" s="9"/>
      <c r="F22" s="9"/>
      <c r="G22" s="9"/>
      <c r="H22" s="9"/>
      <c r="I22" s="9"/>
      <c r="J22" s="9"/>
      <c r="K22" s="631"/>
    </row>
    <row r="23" spans="1:16" s="12" customFormat="1" ht="15.75" customHeight="1" x14ac:dyDescent="0.2">
      <c r="A23" s="8">
        <v>12</v>
      </c>
      <c r="B23" s="17" t="s">
        <v>504</v>
      </c>
      <c r="C23" s="9"/>
      <c r="D23" s="9"/>
      <c r="E23" s="9"/>
      <c r="F23" s="9"/>
      <c r="G23" s="9"/>
      <c r="H23" s="9"/>
      <c r="I23" s="9"/>
      <c r="J23" s="9"/>
      <c r="K23" s="631"/>
    </row>
    <row r="24" spans="1:16" s="12" customFormat="1" ht="15.75" customHeight="1" x14ac:dyDescent="0.2">
      <c r="A24" s="8">
        <v>13</v>
      </c>
      <c r="B24" s="17" t="s">
        <v>682</v>
      </c>
      <c r="C24" s="9"/>
      <c r="D24" s="9"/>
      <c r="E24" s="9"/>
      <c r="F24" s="9"/>
      <c r="G24" s="9"/>
      <c r="H24" s="9"/>
      <c r="I24" s="9"/>
      <c r="J24" s="9"/>
      <c r="K24" s="631"/>
    </row>
    <row r="25" spans="1:16" s="29" customFormat="1" ht="15.75" customHeight="1" x14ac:dyDescent="0.2">
      <c r="A25" s="733" t="s">
        <v>15</v>
      </c>
      <c r="B25" s="735"/>
      <c r="C25" s="28">
        <f t="shared" ref="C25:J25" si="0">SUM(C12:C24)</f>
        <v>39001</v>
      </c>
      <c r="D25" s="349">
        <f t="shared" si="0"/>
        <v>40845.49</v>
      </c>
      <c r="E25" s="350">
        <f t="shared" si="0"/>
        <v>29656</v>
      </c>
      <c r="F25" s="349">
        <f t="shared" si="0"/>
        <v>28028.1</v>
      </c>
      <c r="G25" s="350">
        <f t="shared" si="0"/>
        <v>1203</v>
      </c>
      <c r="H25" s="349">
        <f t="shared" si="0"/>
        <v>1587.4499999999998</v>
      </c>
      <c r="I25" s="350">
        <f t="shared" si="0"/>
        <v>8142</v>
      </c>
      <c r="J25" s="349">
        <f t="shared" si="0"/>
        <v>11229.939999999999</v>
      </c>
      <c r="K25" s="343">
        <f>SUM(K12:K24)</f>
        <v>2143</v>
      </c>
    </row>
    <row r="26" spans="1:16" s="12" customFormat="1" x14ac:dyDescent="0.2">
      <c r="A26" s="10"/>
    </row>
    <row r="27" spans="1:16" s="12" customFormat="1" x14ac:dyDescent="0.2">
      <c r="A27" s="10"/>
      <c r="C27" s="721">
        <f>E25/C25</f>
        <v>0.76039075921130228</v>
      </c>
      <c r="E27" s="619"/>
      <c r="F27" s="619">
        <f>75/100*F17</f>
        <v>10812.69</v>
      </c>
      <c r="G27" s="619"/>
      <c r="H27" s="619"/>
      <c r="I27" s="619"/>
      <c r="J27" s="619"/>
      <c r="K27" s="619"/>
    </row>
    <row r="28" spans="1:16" s="12" customFormat="1" x14ac:dyDescent="0.2">
      <c r="A28" s="10"/>
      <c r="E28" s="620">
        <f>E25+G25+I25</f>
        <v>39001</v>
      </c>
      <c r="F28" s="621">
        <v>26995.8</v>
      </c>
      <c r="G28" s="619">
        <v>3615.6</v>
      </c>
      <c r="H28" s="621">
        <f>F28-G28</f>
        <v>23380.2</v>
      </c>
      <c r="I28" s="619">
        <f>75/100*H28</f>
        <v>17535.150000000001</v>
      </c>
      <c r="J28" s="619">
        <v>2727.2</v>
      </c>
      <c r="K28" s="619">
        <f>I28-J28</f>
        <v>14807.95</v>
      </c>
    </row>
    <row r="29" spans="1:16" s="15" customFormat="1" ht="13.9" customHeight="1" x14ac:dyDescent="0.2">
      <c r="B29" s="76"/>
      <c r="C29" s="76"/>
      <c r="D29" s="76"/>
      <c r="E29" s="622"/>
      <c r="F29" s="622"/>
      <c r="G29" s="622"/>
      <c r="H29" s="622"/>
      <c r="I29" s="622"/>
      <c r="J29" s="622"/>
      <c r="K29" s="622"/>
      <c r="L29" s="76"/>
      <c r="M29" s="76"/>
      <c r="N29" s="76"/>
      <c r="O29" s="76"/>
      <c r="P29" s="76"/>
    </row>
    <row r="30" spans="1:16" s="15" customFormat="1" ht="13.15" customHeight="1" x14ac:dyDescent="0.2">
      <c r="A30" s="671"/>
      <c r="B30" s="667"/>
      <c r="C30" s="667"/>
      <c r="D30" s="667"/>
      <c r="E30" s="667"/>
      <c r="F30" s="667"/>
      <c r="G30" s="667"/>
      <c r="H30" s="667"/>
      <c r="I30" s="757" t="s">
        <v>1107</v>
      </c>
      <c r="J30" s="757"/>
      <c r="K30" s="76"/>
      <c r="L30" s="76"/>
      <c r="M30" s="76"/>
      <c r="N30" s="76"/>
      <c r="O30" s="76"/>
      <c r="P30" s="76"/>
    </row>
    <row r="31" spans="1:16" s="15" customFormat="1" ht="13.15" customHeight="1" x14ac:dyDescent="0.2">
      <c r="A31" s="758" t="s">
        <v>1108</v>
      </c>
      <c r="B31" s="758"/>
      <c r="C31" s="758"/>
      <c r="D31" s="758"/>
      <c r="E31" s="758"/>
      <c r="F31" s="758"/>
      <c r="G31" s="758"/>
      <c r="H31" s="758"/>
      <c r="I31" s="758"/>
      <c r="J31" s="758"/>
      <c r="K31" s="76"/>
      <c r="L31" s="76"/>
      <c r="M31" s="76"/>
      <c r="N31" s="76"/>
      <c r="O31" s="76"/>
      <c r="P31" s="76"/>
    </row>
    <row r="32" spans="1:16" s="15" customFormat="1" x14ac:dyDescent="0.2">
      <c r="A32" s="758" t="s">
        <v>1111</v>
      </c>
      <c r="B32" s="758"/>
      <c r="C32" s="758"/>
      <c r="D32" s="758"/>
      <c r="E32" s="758"/>
      <c r="F32" s="758"/>
      <c r="G32" s="758"/>
      <c r="H32" s="758"/>
      <c r="I32" s="758"/>
      <c r="J32" s="758"/>
    </row>
    <row r="33" spans="1:10" s="15" customFormat="1" x14ac:dyDescent="0.2">
      <c r="A33" s="670" t="s">
        <v>1114</v>
      </c>
      <c r="B33" s="670"/>
      <c r="C33" s="670"/>
      <c r="D33" s="670"/>
      <c r="E33" s="670"/>
      <c r="F33" s="670"/>
      <c r="G33" s="671"/>
      <c r="H33" s="931" t="s">
        <v>1116</v>
      </c>
      <c r="I33" s="931"/>
      <c r="J33" s="671"/>
    </row>
    <row r="34" spans="1:10" x14ac:dyDescent="0.2">
      <c r="A34" s="876"/>
      <c r="B34" s="876"/>
      <c r="C34" s="876"/>
      <c r="D34" s="876"/>
      <c r="E34" s="876"/>
      <c r="F34" s="876"/>
      <c r="G34" s="876"/>
      <c r="H34" s="876"/>
      <c r="I34" s="876"/>
      <c r="J34" s="876"/>
    </row>
  </sheetData>
  <mergeCells count="28">
    <mergeCell ref="A9:A10"/>
    <mergeCell ref="I30:J30"/>
    <mergeCell ref="A31:J31"/>
    <mergeCell ref="A32:J32"/>
    <mergeCell ref="H33:I33"/>
    <mergeCell ref="K12:K17"/>
    <mergeCell ref="H12:H14"/>
    <mergeCell ref="I12:I14"/>
    <mergeCell ref="J12:J14"/>
    <mergeCell ref="E12:E14"/>
    <mergeCell ref="F12:F14"/>
    <mergeCell ref="E7:H7"/>
    <mergeCell ref="I7:K7"/>
    <mergeCell ref="C8:J8"/>
    <mergeCell ref="C9:D9"/>
    <mergeCell ref="E9:F9"/>
    <mergeCell ref="G9:H9"/>
    <mergeCell ref="K9:K10"/>
    <mergeCell ref="A34:J34"/>
    <mergeCell ref="I9:J9"/>
    <mergeCell ref="G12:G14"/>
    <mergeCell ref="D1:E1"/>
    <mergeCell ref="I1:J1"/>
    <mergeCell ref="A2:J2"/>
    <mergeCell ref="A3:J3"/>
    <mergeCell ref="A5:K5"/>
    <mergeCell ref="B9:B10"/>
    <mergeCell ref="A25:B2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view="pageBreakPreview" topLeftCell="A16" zoomScale="90" zoomScaleNormal="100" zoomScaleSheetLayoutView="90" workbookViewId="0">
      <selection activeCell="I39" sqref="I39"/>
    </sheetView>
  </sheetViews>
  <sheetFormatPr defaultRowHeight="12.75" x14ac:dyDescent="0.2"/>
  <cols>
    <col min="2" max="2" width="15.85546875" bestFit="1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11.5703125" customWidth="1"/>
    <col min="8" max="8" width="13.28515625" customWidth="1"/>
    <col min="9" max="9" width="16.5703125" customWidth="1"/>
    <col min="10" max="10" width="18.28515625" customWidth="1"/>
    <col min="11" max="11" width="14.140625" customWidth="1"/>
    <col min="13" max="13" width="0" style="634" hidden="1" customWidth="1"/>
    <col min="14" max="14" width="0" hidden="1" customWidth="1"/>
    <col min="15" max="15" width="0" style="634" hidden="1" customWidth="1"/>
    <col min="16" max="16" width="13.28515625" hidden="1" customWidth="1"/>
    <col min="17" max="17" width="10.28515625" style="634" hidden="1" customWidth="1"/>
    <col min="18" max="18" width="10.42578125" hidden="1" customWidth="1"/>
    <col min="19" max="19" width="11.85546875" style="634" hidden="1" customWidth="1"/>
    <col min="20" max="20" width="11.85546875" hidden="1" customWidth="1"/>
    <col min="21" max="21" width="11.85546875" style="634" hidden="1" customWidth="1"/>
    <col min="22" max="22" width="11.85546875" hidden="1" customWidth="1"/>
    <col min="23" max="23" width="11.85546875" style="634" hidden="1" customWidth="1"/>
    <col min="24" max="24" width="11.85546875" hidden="1" customWidth="1"/>
    <col min="25" max="25" width="11.85546875" style="634" hidden="1" customWidth="1"/>
    <col min="26" max="27" width="11.85546875" hidden="1" customWidth="1"/>
    <col min="28" max="28" width="11.85546875" style="634" hidden="1" customWidth="1"/>
    <col min="29" max="32" width="0" hidden="1" customWidth="1"/>
  </cols>
  <sheetData>
    <row r="1" spans="1:28" ht="15" x14ac:dyDescent="0.2">
      <c r="D1" s="792"/>
      <c r="E1" s="792"/>
      <c r="H1" s="39"/>
      <c r="I1" s="871" t="s">
        <v>374</v>
      </c>
      <c r="J1" s="871"/>
    </row>
    <row r="2" spans="1:28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28" ht="20.25" x14ac:dyDescent="0.3">
      <c r="A3" s="789" t="s">
        <v>696</v>
      </c>
      <c r="B3" s="789"/>
      <c r="C3" s="789"/>
      <c r="D3" s="789"/>
      <c r="E3" s="789"/>
      <c r="F3" s="789"/>
      <c r="G3" s="789"/>
      <c r="H3" s="789"/>
      <c r="I3" s="789"/>
      <c r="J3" s="789"/>
    </row>
    <row r="4" spans="1:28" ht="10.5" customHeight="1" x14ac:dyDescent="0.2"/>
    <row r="5" spans="1:28" s="15" customFormat="1" ht="18.75" customHeight="1" x14ac:dyDescent="0.25">
      <c r="A5" s="980" t="s">
        <v>429</v>
      </c>
      <c r="B5" s="980"/>
      <c r="C5" s="980"/>
      <c r="D5" s="980"/>
      <c r="E5" s="980"/>
      <c r="F5" s="980"/>
      <c r="G5" s="980"/>
      <c r="H5" s="980"/>
      <c r="I5" s="980"/>
      <c r="J5" s="980"/>
      <c r="K5" s="980"/>
      <c r="M5" s="634"/>
      <c r="O5" s="634"/>
      <c r="Q5" s="634"/>
      <c r="S5" s="634"/>
      <c r="U5" s="634"/>
      <c r="W5" s="634"/>
      <c r="Y5" s="634"/>
      <c r="AB5" s="634"/>
    </row>
    <row r="6" spans="1:28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M6" s="634"/>
      <c r="O6" s="634"/>
      <c r="Q6" s="634"/>
      <c r="S6" s="634"/>
      <c r="U6" s="634"/>
      <c r="W6" s="634"/>
      <c r="Y6" s="634"/>
      <c r="AB6" s="634"/>
    </row>
    <row r="7" spans="1:28" s="15" customFormat="1" x14ac:dyDescent="0.2">
      <c r="A7" s="191" t="s">
        <v>1098</v>
      </c>
      <c r="B7" s="191"/>
      <c r="E7" s="927"/>
      <c r="F7" s="927"/>
      <c r="G7" s="927"/>
      <c r="H7" s="927"/>
      <c r="I7" s="927" t="s">
        <v>774</v>
      </c>
      <c r="J7" s="927"/>
      <c r="K7" s="927"/>
      <c r="M7" s="634"/>
      <c r="O7" s="634"/>
      <c r="Q7" s="634"/>
      <c r="S7" s="634"/>
      <c r="U7" s="634"/>
      <c r="W7" s="634"/>
      <c r="Y7" s="634"/>
      <c r="AB7" s="634"/>
    </row>
    <row r="8" spans="1:28" s="13" customFormat="1" ht="15.75" x14ac:dyDescent="0.25">
      <c r="C8" s="878" t="s">
        <v>12</v>
      </c>
      <c r="D8" s="878"/>
      <c r="E8" s="878"/>
      <c r="F8" s="878"/>
      <c r="G8" s="878"/>
      <c r="H8" s="878"/>
      <c r="I8" s="878"/>
      <c r="J8" s="878"/>
      <c r="M8" s="635"/>
      <c r="O8" s="635"/>
      <c r="Q8" s="635"/>
      <c r="S8" s="635"/>
      <c r="U8" s="635"/>
      <c r="W8" s="635"/>
      <c r="Y8" s="635"/>
      <c r="AB8" s="635"/>
    </row>
    <row r="9" spans="1:28" ht="30" customHeight="1" x14ac:dyDescent="0.2">
      <c r="A9" s="727" t="s">
        <v>19</v>
      </c>
      <c r="B9" s="727" t="s">
        <v>33</v>
      </c>
      <c r="C9" s="770" t="s">
        <v>759</v>
      </c>
      <c r="D9" s="772"/>
      <c r="E9" s="770" t="s">
        <v>34</v>
      </c>
      <c r="F9" s="772"/>
      <c r="G9" s="770" t="s">
        <v>35</v>
      </c>
      <c r="H9" s="772"/>
      <c r="I9" s="775" t="s">
        <v>100</v>
      </c>
      <c r="J9" s="775"/>
      <c r="K9" s="727" t="s">
        <v>229</v>
      </c>
      <c r="R9" s="9"/>
      <c r="S9" s="639"/>
    </row>
    <row r="10" spans="1:28" s="14" customFormat="1" ht="42.6" customHeight="1" x14ac:dyDescent="0.2">
      <c r="A10" s="728"/>
      <c r="B10" s="728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728"/>
      <c r="M10" s="636"/>
      <c r="O10" s="636"/>
      <c r="Q10" s="636"/>
      <c r="S10" s="636"/>
      <c r="U10" s="636"/>
      <c r="W10" s="636"/>
      <c r="Y10" s="636"/>
      <c r="AB10" s="636"/>
    </row>
    <row r="11" spans="1:28" x14ac:dyDescent="0.2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3">
        <v>11</v>
      </c>
    </row>
    <row r="12" spans="1:28" x14ac:dyDescent="0.2">
      <c r="A12" s="17">
        <v>1</v>
      </c>
      <c r="B12" s="184" t="s">
        <v>875</v>
      </c>
      <c r="C12" s="341">
        <v>2578</v>
      </c>
      <c r="D12" s="342">
        <v>2844.9250000000002</v>
      </c>
      <c r="E12" s="322">
        <v>2257</v>
      </c>
      <c r="F12" s="342">
        <v>2354.1799999999998</v>
      </c>
      <c r="G12" s="322">
        <v>202</v>
      </c>
      <c r="H12" s="342">
        <v>243.42000000000002</v>
      </c>
      <c r="I12" s="341">
        <f>C12-E12-G12</f>
        <v>119</v>
      </c>
      <c r="J12" s="342">
        <f>D12-F12-H12</f>
        <v>247.32500000000033</v>
      </c>
      <c r="K12" s="322">
        <v>0</v>
      </c>
      <c r="M12" s="637">
        <v>596</v>
      </c>
      <c r="N12" s="425">
        <f>M12*0.6</f>
        <v>357.59999999999997</v>
      </c>
      <c r="O12" s="634">
        <v>565</v>
      </c>
      <c r="P12" s="425">
        <f>O12*0.6</f>
        <v>339</v>
      </c>
      <c r="Q12" s="634">
        <v>205</v>
      </c>
      <c r="R12" s="425">
        <f>Q12*1.635</f>
        <v>335.17500000000001</v>
      </c>
      <c r="S12" s="634">
        <v>405</v>
      </c>
      <c r="T12" s="425">
        <f>S12*1.635</f>
        <v>662.17499999999995</v>
      </c>
      <c r="U12" s="634">
        <v>370</v>
      </c>
      <c r="V12" s="425">
        <f>U12*1.215</f>
        <v>449.55</v>
      </c>
      <c r="W12" s="634">
        <v>80</v>
      </c>
      <c r="X12" s="425">
        <f>W12*2.22</f>
        <v>177.60000000000002</v>
      </c>
      <c r="Y12" s="634">
        <v>10</v>
      </c>
      <c r="Z12" s="425">
        <f>Y12*3.308</f>
        <v>33.08</v>
      </c>
      <c r="AA12" s="425"/>
      <c r="AB12" s="641">
        <f t="shared" ref="AB12:AB36" si="0">N12+P12+R12+T12+V12+X12+Z12</f>
        <v>2354.1799999999998</v>
      </c>
    </row>
    <row r="13" spans="1:28" x14ac:dyDescent="0.2">
      <c r="A13" s="17">
        <v>2</v>
      </c>
      <c r="B13" s="184" t="s">
        <v>876</v>
      </c>
      <c r="C13" s="341">
        <v>1021</v>
      </c>
      <c r="D13" s="342">
        <v>1095.9449999999999</v>
      </c>
      <c r="E13" s="322">
        <v>886</v>
      </c>
      <c r="F13" s="342">
        <v>860.02500000000009</v>
      </c>
      <c r="G13" s="322">
        <v>5</v>
      </c>
      <c r="H13" s="342">
        <v>8.1750000000000007</v>
      </c>
      <c r="I13" s="341">
        <f t="shared" ref="I13:I35" si="1">C13-E13-G13</f>
        <v>130</v>
      </c>
      <c r="J13" s="342">
        <f t="shared" ref="J13:J35" si="2">D13-F13-H13</f>
        <v>227.74499999999983</v>
      </c>
      <c r="K13" s="322">
        <v>0</v>
      </c>
      <c r="M13" s="637">
        <v>106</v>
      </c>
      <c r="N13" s="425">
        <f t="shared" ref="N13:N35" si="3">M13*0.6</f>
        <v>63.599999999999994</v>
      </c>
      <c r="O13" s="634">
        <v>216</v>
      </c>
      <c r="P13" s="425">
        <f t="shared" ref="P13:P35" si="4">O13*0.6</f>
        <v>129.6</v>
      </c>
      <c r="Q13" s="634">
        <v>14</v>
      </c>
      <c r="R13" s="425">
        <f t="shared" ref="R13:R36" si="5">Q13*1.635</f>
        <v>22.89</v>
      </c>
      <c r="S13" s="634">
        <v>26</v>
      </c>
      <c r="T13" s="425">
        <f t="shared" ref="T13:T36" si="6">S13*1.635</f>
        <v>42.51</v>
      </c>
      <c r="U13" s="634">
        <v>495</v>
      </c>
      <c r="V13" s="425">
        <f t="shared" ref="V13:V35" si="7">U13*1.215</f>
        <v>601.42500000000007</v>
      </c>
      <c r="W13" s="634">
        <v>0</v>
      </c>
      <c r="X13" s="425">
        <f t="shared" ref="X13:X36" si="8">W13*2.22</f>
        <v>0</v>
      </c>
      <c r="Y13" s="634">
        <v>0</v>
      </c>
      <c r="Z13" s="425">
        <f t="shared" ref="Z13:Z35" si="9">Y13*3.308</f>
        <v>0</v>
      </c>
      <c r="AA13" s="425"/>
      <c r="AB13" s="641">
        <f t="shared" si="0"/>
        <v>860.02500000000009</v>
      </c>
    </row>
    <row r="14" spans="1:28" x14ac:dyDescent="0.2">
      <c r="A14" s="17">
        <v>3</v>
      </c>
      <c r="B14" s="184" t="s">
        <v>877</v>
      </c>
      <c r="C14" s="341">
        <v>710</v>
      </c>
      <c r="D14" s="342">
        <v>771.99</v>
      </c>
      <c r="E14" s="322">
        <v>473</v>
      </c>
      <c r="F14" s="342">
        <v>483.34500000000003</v>
      </c>
      <c r="G14" s="322">
        <v>1</v>
      </c>
      <c r="H14" s="342">
        <v>1.635</v>
      </c>
      <c r="I14" s="341">
        <f t="shared" si="1"/>
        <v>236</v>
      </c>
      <c r="J14" s="342">
        <f t="shared" si="2"/>
        <v>287.01</v>
      </c>
      <c r="K14" s="322">
        <v>0</v>
      </c>
      <c r="M14" s="637">
        <v>196</v>
      </c>
      <c r="N14" s="425">
        <f t="shared" si="3"/>
        <v>117.6</v>
      </c>
      <c r="O14" s="634">
        <v>0</v>
      </c>
      <c r="P14" s="425">
        <f t="shared" si="4"/>
        <v>0</v>
      </c>
      <c r="Q14" s="634">
        <v>27</v>
      </c>
      <c r="R14" s="425">
        <f t="shared" si="5"/>
        <v>44.145000000000003</v>
      </c>
      <c r="S14" s="634">
        <v>55</v>
      </c>
      <c r="T14" s="425">
        <f t="shared" si="6"/>
        <v>89.924999999999997</v>
      </c>
      <c r="U14" s="634">
        <v>145</v>
      </c>
      <c r="V14" s="425">
        <f t="shared" si="7"/>
        <v>176.17500000000001</v>
      </c>
      <c r="W14" s="634">
        <v>25</v>
      </c>
      <c r="X14" s="425">
        <f t="shared" si="8"/>
        <v>55.500000000000007</v>
      </c>
      <c r="Y14" s="634">
        <v>0</v>
      </c>
      <c r="Z14" s="425">
        <f t="shared" si="9"/>
        <v>0</v>
      </c>
      <c r="AA14" s="425"/>
      <c r="AB14" s="641">
        <f t="shared" si="0"/>
        <v>483.34500000000003</v>
      </c>
    </row>
    <row r="15" spans="1:28" x14ac:dyDescent="0.2">
      <c r="A15" s="17">
        <v>4</v>
      </c>
      <c r="B15" s="184" t="s">
        <v>878</v>
      </c>
      <c r="C15" s="341">
        <v>1776</v>
      </c>
      <c r="D15" s="342">
        <v>1911.345</v>
      </c>
      <c r="E15" s="322">
        <v>1427</v>
      </c>
      <c r="F15" s="342">
        <v>1566.87</v>
      </c>
      <c r="G15" s="322">
        <v>0</v>
      </c>
      <c r="H15" s="342">
        <v>0</v>
      </c>
      <c r="I15" s="341">
        <f t="shared" si="1"/>
        <v>349</v>
      </c>
      <c r="J15" s="342">
        <f t="shared" si="2"/>
        <v>344.47500000000014</v>
      </c>
      <c r="K15" s="322">
        <v>347</v>
      </c>
      <c r="M15" s="637">
        <v>391</v>
      </c>
      <c r="N15" s="425">
        <f t="shared" si="3"/>
        <v>234.6</v>
      </c>
      <c r="O15" s="634">
        <v>295</v>
      </c>
      <c r="P15" s="425">
        <f t="shared" si="4"/>
        <v>177</v>
      </c>
      <c r="Q15" s="634">
        <v>130</v>
      </c>
      <c r="R15" s="425">
        <f t="shared" si="5"/>
        <v>212.55</v>
      </c>
      <c r="S15" s="634">
        <v>310</v>
      </c>
      <c r="T15" s="425">
        <f t="shared" si="6"/>
        <v>506.85</v>
      </c>
      <c r="U15" s="634">
        <v>190</v>
      </c>
      <c r="V15" s="425">
        <f t="shared" si="7"/>
        <v>230.85000000000002</v>
      </c>
      <c r="W15" s="634">
        <v>70</v>
      </c>
      <c r="X15" s="425">
        <f t="shared" si="8"/>
        <v>155.4</v>
      </c>
      <c r="Y15" s="634">
        <v>15</v>
      </c>
      <c r="Z15" s="425">
        <f t="shared" si="9"/>
        <v>49.62</v>
      </c>
      <c r="AA15" s="425"/>
      <c r="AB15" s="641">
        <f t="shared" si="0"/>
        <v>1566.87</v>
      </c>
    </row>
    <row r="16" spans="1:28" x14ac:dyDescent="0.2">
      <c r="A16" s="17">
        <v>5</v>
      </c>
      <c r="B16" s="184" t="s">
        <v>879</v>
      </c>
      <c r="C16" s="341">
        <v>1025</v>
      </c>
      <c r="D16" s="342">
        <v>959.53499999999997</v>
      </c>
      <c r="E16" s="322">
        <v>918</v>
      </c>
      <c r="F16" s="342">
        <v>762.66000000000008</v>
      </c>
      <c r="G16" s="322">
        <v>1</v>
      </c>
      <c r="H16" s="342">
        <v>0.6</v>
      </c>
      <c r="I16" s="341">
        <f t="shared" si="1"/>
        <v>106</v>
      </c>
      <c r="J16" s="342">
        <f t="shared" si="2"/>
        <v>196.27499999999989</v>
      </c>
      <c r="K16" s="322">
        <v>0</v>
      </c>
      <c r="M16" s="637">
        <v>341</v>
      </c>
      <c r="N16" s="425">
        <f t="shared" si="3"/>
        <v>204.6</v>
      </c>
      <c r="O16" s="634">
        <v>213</v>
      </c>
      <c r="P16" s="425">
        <f t="shared" si="4"/>
        <v>127.8</v>
      </c>
      <c r="Q16" s="634">
        <v>10</v>
      </c>
      <c r="R16" s="425">
        <f t="shared" si="5"/>
        <v>16.350000000000001</v>
      </c>
      <c r="S16" s="634">
        <v>16</v>
      </c>
      <c r="T16" s="425">
        <f t="shared" si="6"/>
        <v>26.16</v>
      </c>
      <c r="U16" s="634">
        <v>310</v>
      </c>
      <c r="V16" s="425">
        <f t="shared" si="7"/>
        <v>376.65000000000003</v>
      </c>
      <c r="W16" s="634">
        <v>5</v>
      </c>
      <c r="X16" s="425">
        <f t="shared" si="8"/>
        <v>11.100000000000001</v>
      </c>
      <c r="Y16" s="634">
        <v>0</v>
      </c>
      <c r="Z16" s="425">
        <f t="shared" si="9"/>
        <v>0</v>
      </c>
      <c r="AA16" s="425"/>
      <c r="AB16" s="641">
        <f t="shared" si="0"/>
        <v>762.66000000000008</v>
      </c>
    </row>
    <row r="17" spans="1:28" x14ac:dyDescent="0.2">
      <c r="A17" s="17">
        <v>6</v>
      </c>
      <c r="B17" s="184" t="s">
        <v>880</v>
      </c>
      <c r="C17" s="341">
        <v>1897</v>
      </c>
      <c r="D17" s="342">
        <v>1870.2349999999999</v>
      </c>
      <c r="E17" s="322">
        <v>1548</v>
      </c>
      <c r="F17" s="342">
        <v>1283.7469999999998</v>
      </c>
      <c r="G17" s="322">
        <v>76</v>
      </c>
      <c r="H17" s="342">
        <v>121.83300000000001</v>
      </c>
      <c r="I17" s="341">
        <f t="shared" si="1"/>
        <v>273</v>
      </c>
      <c r="J17" s="342">
        <f t="shared" si="2"/>
        <v>464.65500000000003</v>
      </c>
      <c r="K17" s="322">
        <v>0</v>
      </c>
      <c r="M17" s="637">
        <v>729</v>
      </c>
      <c r="N17" s="425">
        <f t="shared" si="3"/>
        <v>437.4</v>
      </c>
      <c r="O17" s="634">
        <v>339</v>
      </c>
      <c r="P17" s="425">
        <f t="shared" si="4"/>
        <v>203.4</v>
      </c>
      <c r="Q17" s="634">
        <v>59</v>
      </c>
      <c r="R17" s="425">
        <f t="shared" si="5"/>
        <v>96.465000000000003</v>
      </c>
      <c r="S17" s="634">
        <v>75</v>
      </c>
      <c r="T17" s="425">
        <f t="shared" si="6"/>
        <v>122.625</v>
      </c>
      <c r="U17" s="634">
        <v>327</v>
      </c>
      <c r="V17" s="425">
        <f t="shared" si="7"/>
        <v>397.30500000000001</v>
      </c>
      <c r="W17" s="634">
        <v>6</v>
      </c>
      <c r="X17" s="425">
        <f t="shared" si="8"/>
        <v>13.32</v>
      </c>
      <c r="Y17" s="634">
        <v>4</v>
      </c>
      <c r="Z17" s="425">
        <f t="shared" si="9"/>
        <v>13.231999999999999</v>
      </c>
      <c r="AA17" s="425"/>
      <c r="AB17" s="641">
        <f t="shared" si="0"/>
        <v>1283.7469999999998</v>
      </c>
    </row>
    <row r="18" spans="1:28" x14ac:dyDescent="0.2">
      <c r="A18" s="17">
        <v>7</v>
      </c>
      <c r="B18" s="184" t="s">
        <v>881</v>
      </c>
      <c r="C18" s="341">
        <v>1578</v>
      </c>
      <c r="D18" s="342">
        <v>1613.52</v>
      </c>
      <c r="E18" s="322">
        <v>1230</v>
      </c>
      <c r="F18" s="342">
        <v>996.48000000000013</v>
      </c>
      <c r="G18" s="322">
        <v>0</v>
      </c>
      <c r="H18" s="342">
        <v>0</v>
      </c>
      <c r="I18" s="341">
        <f t="shared" si="1"/>
        <v>348</v>
      </c>
      <c r="J18" s="342">
        <f t="shared" si="2"/>
        <v>617.03999999999985</v>
      </c>
      <c r="K18" s="322">
        <v>0</v>
      </c>
      <c r="M18" s="637">
        <v>588</v>
      </c>
      <c r="N18" s="425">
        <f t="shared" si="3"/>
        <v>352.8</v>
      </c>
      <c r="O18" s="634">
        <v>274</v>
      </c>
      <c r="P18" s="425">
        <f t="shared" si="4"/>
        <v>164.4</v>
      </c>
      <c r="Q18" s="634">
        <v>99</v>
      </c>
      <c r="R18" s="425">
        <f t="shared" si="5"/>
        <v>161.86500000000001</v>
      </c>
      <c r="S18" s="634">
        <v>47</v>
      </c>
      <c r="T18" s="425">
        <f t="shared" si="6"/>
        <v>76.844999999999999</v>
      </c>
      <c r="U18" s="634">
        <v>198</v>
      </c>
      <c r="V18" s="425">
        <f t="shared" si="7"/>
        <v>240.57000000000002</v>
      </c>
      <c r="W18" s="634">
        <v>0</v>
      </c>
      <c r="X18" s="425">
        <f t="shared" si="8"/>
        <v>0</v>
      </c>
      <c r="Y18" s="634">
        <v>0</v>
      </c>
      <c r="Z18" s="425">
        <f t="shared" si="9"/>
        <v>0</v>
      </c>
      <c r="AA18" s="425"/>
      <c r="AB18" s="641">
        <f t="shared" si="0"/>
        <v>996.48000000000013</v>
      </c>
    </row>
    <row r="19" spans="1:28" x14ac:dyDescent="0.2">
      <c r="A19" s="17">
        <v>8</v>
      </c>
      <c r="B19" s="184" t="s">
        <v>882</v>
      </c>
      <c r="C19" s="341">
        <v>2253</v>
      </c>
      <c r="D19" s="342">
        <v>2252.9720000000002</v>
      </c>
      <c r="E19" s="322">
        <v>1966</v>
      </c>
      <c r="F19" s="342">
        <v>1766.4859999999999</v>
      </c>
      <c r="G19" s="322">
        <v>84</v>
      </c>
      <c r="H19" s="342">
        <v>122.64</v>
      </c>
      <c r="I19" s="341">
        <f t="shared" si="1"/>
        <v>203</v>
      </c>
      <c r="J19" s="342">
        <f t="shared" si="2"/>
        <v>363.84600000000034</v>
      </c>
      <c r="K19" s="322">
        <v>0</v>
      </c>
      <c r="M19" s="637">
        <v>966</v>
      </c>
      <c r="N19" s="425">
        <f t="shared" si="3"/>
        <v>579.6</v>
      </c>
      <c r="O19" s="634">
        <v>74</v>
      </c>
      <c r="P19" s="425">
        <f t="shared" si="4"/>
        <v>44.4</v>
      </c>
      <c r="Q19" s="634">
        <v>127</v>
      </c>
      <c r="R19" s="425">
        <f t="shared" si="5"/>
        <v>207.64500000000001</v>
      </c>
      <c r="S19" s="634">
        <v>290</v>
      </c>
      <c r="T19" s="425">
        <f t="shared" si="6"/>
        <v>474.15</v>
      </c>
      <c r="U19" s="634">
        <v>245</v>
      </c>
      <c r="V19" s="425">
        <f t="shared" si="7"/>
        <v>297.67500000000001</v>
      </c>
      <c r="W19" s="634">
        <v>63</v>
      </c>
      <c r="X19" s="425">
        <f t="shared" si="8"/>
        <v>139.86000000000001</v>
      </c>
      <c r="Y19" s="634">
        <v>7</v>
      </c>
      <c r="Z19" s="425">
        <f t="shared" si="9"/>
        <v>23.155999999999999</v>
      </c>
      <c r="AA19" s="425"/>
      <c r="AB19" s="641">
        <f t="shared" si="0"/>
        <v>1766.4859999999999</v>
      </c>
    </row>
    <row r="20" spans="1:28" x14ac:dyDescent="0.2">
      <c r="A20" s="17">
        <v>9</v>
      </c>
      <c r="B20" s="184" t="s">
        <v>883</v>
      </c>
      <c r="C20" s="341">
        <v>2383</v>
      </c>
      <c r="D20" s="342">
        <v>2456.3249999999998</v>
      </c>
      <c r="E20" s="322">
        <v>2268</v>
      </c>
      <c r="F20" s="342">
        <v>2253.63</v>
      </c>
      <c r="G20" s="322">
        <v>0</v>
      </c>
      <c r="H20" s="342">
        <v>0</v>
      </c>
      <c r="I20" s="341">
        <f t="shared" si="1"/>
        <v>115</v>
      </c>
      <c r="J20" s="342">
        <f t="shared" si="2"/>
        <v>202.69499999999971</v>
      </c>
      <c r="K20" s="322">
        <v>0</v>
      </c>
      <c r="M20" s="637">
        <v>644</v>
      </c>
      <c r="N20" s="425">
        <f t="shared" si="3"/>
        <v>386.4</v>
      </c>
      <c r="O20" s="634">
        <v>552</v>
      </c>
      <c r="P20" s="425">
        <f t="shared" si="4"/>
        <v>331.2</v>
      </c>
      <c r="Q20" s="634">
        <v>58</v>
      </c>
      <c r="R20" s="425">
        <f t="shared" si="5"/>
        <v>94.83</v>
      </c>
      <c r="S20" s="634">
        <v>132</v>
      </c>
      <c r="T20" s="425">
        <f t="shared" si="6"/>
        <v>215.82</v>
      </c>
      <c r="U20" s="634">
        <v>676</v>
      </c>
      <c r="V20" s="425">
        <f t="shared" si="7"/>
        <v>821.34</v>
      </c>
      <c r="W20" s="634">
        <v>182</v>
      </c>
      <c r="X20" s="425">
        <f t="shared" si="8"/>
        <v>404.04</v>
      </c>
      <c r="Y20" s="634">
        <v>0</v>
      </c>
      <c r="Z20" s="425">
        <f t="shared" si="9"/>
        <v>0</v>
      </c>
      <c r="AA20" s="425"/>
      <c r="AB20" s="641">
        <f t="shared" si="0"/>
        <v>2253.63</v>
      </c>
    </row>
    <row r="21" spans="1:28" x14ac:dyDescent="0.2">
      <c r="A21" s="17">
        <v>10</v>
      </c>
      <c r="B21" s="184" t="s">
        <v>884</v>
      </c>
      <c r="C21" s="341">
        <v>1119</v>
      </c>
      <c r="D21" s="342">
        <v>1048.7249999999999</v>
      </c>
      <c r="E21" s="322">
        <v>435</v>
      </c>
      <c r="F21" s="342">
        <v>283.23</v>
      </c>
      <c r="G21" s="322">
        <v>301</v>
      </c>
      <c r="H21" s="342">
        <v>384.61500000000001</v>
      </c>
      <c r="I21" s="341">
        <f t="shared" si="1"/>
        <v>383</v>
      </c>
      <c r="J21" s="342">
        <f t="shared" si="2"/>
        <v>380.87999999999988</v>
      </c>
      <c r="K21" s="322">
        <v>260</v>
      </c>
      <c r="M21" s="637">
        <v>381</v>
      </c>
      <c r="N21" s="425">
        <f t="shared" si="3"/>
        <v>228.6</v>
      </c>
      <c r="O21" s="634">
        <v>49</v>
      </c>
      <c r="P21" s="425">
        <f t="shared" si="4"/>
        <v>29.4</v>
      </c>
      <c r="Q21" s="634">
        <v>6</v>
      </c>
      <c r="R21" s="425">
        <f t="shared" si="5"/>
        <v>9.81</v>
      </c>
      <c r="S21" s="634">
        <v>4</v>
      </c>
      <c r="T21" s="425">
        <f t="shared" si="6"/>
        <v>6.54</v>
      </c>
      <c r="U21" s="634">
        <v>0</v>
      </c>
      <c r="V21" s="425">
        <f t="shared" si="7"/>
        <v>0</v>
      </c>
      <c r="W21" s="634">
        <v>4</v>
      </c>
      <c r="X21" s="425">
        <f t="shared" si="8"/>
        <v>8.8800000000000008</v>
      </c>
      <c r="Y21" s="634">
        <v>0</v>
      </c>
      <c r="Z21" s="425">
        <f t="shared" si="9"/>
        <v>0</v>
      </c>
      <c r="AA21" s="425"/>
      <c r="AB21" s="641">
        <f t="shared" si="0"/>
        <v>283.23</v>
      </c>
    </row>
    <row r="22" spans="1:28" x14ac:dyDescent="0.2">
      <c r="A22" s="17">
        <v>11</v>
      </c>
      <c r="B22" s="184" t="s">
        <v>885</v>
      </c>
      <c r="C22" s="341">
        <v>1423</v>
      </c>
      <c r="D22" s="342">
        <v>1578.135</v>
      </c>
      <c r="E22" s="322">
        <v>1181</v>
      </c>
      <c r="F22" s="342">
        <v>1232.085</v>
      </c>
      <c r="G22" s="322">
        <v>61</v>
      </c>
      <c r="H22" s="342">
        <v>112.92000000000002</v>
      </c>
      <c r="I22" s="341">
        <f t="shared" si="1"/>
        <v>181</v>
      </c>
      <c r="J22" s="342">
        <f t="shared" si="2"/>
        <v>233.12999999999994</v>
      </c>
      <c r="K22" s="322">
        <v>0</v>
      </c>
      <c r="M22" s="637">
        <v>440</v>
      </c>
      <c r="N22" s="425">
        <f t="shared" si="3"/>
        <v>264</v>
      </c>
      <c r="O22" s="634">
        <v>181</v>
      </c>
      <c r="P22" s="425">
        <f t="shared" si="4"/>
        <v>108.6</v>
      </c>
      <c r="Q22" s="634">
        <v>83</v>
      </c>
      <c r="R22" s="425">
        <f t="shared" si="5"/>
        <v>135.70500000000001</v>
      </c>
      <c r="S22" s="634">
        <v>185</v>
      </c>
      <c r="T22" s="425">
        <f t="shared" si="6"/>
        <v>302.47500000000002</v>
      </c>
      <c r="U22" s="634">
        <v>175</v>
      </c>
      <c r="V22" s="425">
        <f t="shared" si="7"/>
        <v>212.625</v>
      </c>
      <c r="W22" s="634">
        <v>94</v>
      </c>
      <c r="X22" s="425">
        <f t="shared" si="8"/>
        <v>208.68</v>
      </c>
      <c r="Y22" s="634">
        <v>0</v>
      </c>
      <c r="Z22" s="425">
        <f t="shared" si="9"/>
        <v>0</v>
      </c>
      <c r="AA22" s="425"/>
      <c r="AB22" s="641">
        <f t="shared" si="0"/>
        <v>1232.085</v>
      </c>
    </row>
    <row r="23" spans="1:28" x14ac:dyDescent="0.2">
      <c r="A23" s="17">
        <v>12</v>
      </c>
      <c r="B23" s="241" t="s">
        <v>886</v>
      </c>
      <c r="C23" s="341">
        <v>1503</v>
      </c>
      <c r="D23" s="342">
        <v>1591.4960000000001</v>
      </c>
      <c r="E23" s="322">
        <v>1403</v>
      </c>
      <c r="F23" s="342">
        <v>1393.8490000000002</v>
      </c>
      <c r="G23" s="322">
        <v>2</v>
      </c>
      <c r="H23" s="342">
        <v>8.2949999999999999</v>
      </c>
      <c r="I23" s="341">
        <f t="shared" si="1"/>
        <v>98</v>
      </c>
      <c r="J23" s="342">
        <f t="shared" si="2"/>
        <v>189.35199999999995</v>
      </c>
      <c r="K23" s="322">
        <v>0</v>
      </c>
      <c r="M23" s="637">
        <v>725</v>
      </c>
      <c r="N23" s="425">
        <f t="shared" si="3"/>
        <v>435</v>
      </c>
      <c r="O23" s="634">
        <v>234</v>
      </c>
      <c r="P23" s="425">
        <f t="shared" si="4"/>
        <v>140.4</v>
      </c>
      <c r="Q23" s="634">
        <v>81</v>
      </c>
      <c r="R23" s="425">
        <f t="shared" si="5"/>
        <v>132.435</v>
      </c>
      <c r="S23" s="634">
        <v>130</v>
      </c>
      <c r="T23" s="425">
        <f t="shared" si="6"/>
        <v>212.55</v>
      </c>
      <c r="U23" s="634">
        <v>0</v>
      </c>
      <c r="V23" s="425">
        <f t="shared" si="7"/>
        <v>0</v>
      </c>
      <c r="W23" s="634">
        <v>179</v>
      </c>
      <c r="X23" s="425">
        <f t="shared" si="8"/>
        <v>397.38000000000005</v>
      </c>
      <c r="Y23" s="634">
        <v>23</v>
      </c>
      <c r="Z23" s="425">
        <f t="shared" si="9"/>
        <v>76.084000000000003</v>
      </c>
      <c r="AA23" s="425"/>
      <c r="AB23" s="641">
        <f t="shared" si="0"/>
        <v>1393.8490000000002</v>
      </c>
    </row>
    <row r="24" spans="1:28" x14ac:dyDescent="0.2">
      <c r="A24" s="17">
        <v>13</v>
      </c>
      <c r="B24" s="184" t="s">
        <v>887</v>
      </c>
      <c r="C24" s="341">
        <v>748</v>
      </c>
      <c r="D24" s="342">
        <v>729</v>
      </c>
      <c r="E24" s="322">
        <v>544</v>
      </c>
      <c r="F24" s="342">
        <v>398.94</v>
      </c>
      <c r="G24" s="322">
        <v>0</v>
      </c>
      <c r="H24" s="342">
        <v>0</v>
      </c>
      <c r="I24" s="341">
        <f t="shared" si="1"/>
        <v>204</v>
      </c>
      <c r="J24" s="342">
        <f t="shared" si="2"/>
        <v>330.06</v>
      </c>
      <c r="K24" s="322">
        <v>124</v>
      </c>
      <c r="M24" s="637">
        <v>307</v>
      </c>
      <c r="N24" s="425">
        <f t="shared" si="3"/>
        <v>184.2</v>
      </c>
      <c r="O24" s="634">
        <v>120</v>
      </c>
      <c r="P24" s="425">
        <f t="shared" si="4"/>
        <v>72</v>
      </c>
      <c r="Q24" s="634">
        <v>18</v>
      </c>
      <c r="R24" s="425">
        <f t="shared" si="5"/>
        <v>29.43</v>
      </c>
      <c r="S24" s="634">
        <v>21</v>
      </c>
      <c r="T24" s="425">
        <f t="shared" si="6"/>
        <v>34.335000000000001</v>
      </c>
      <c r="U24" s="634">
        <v>65</v>
      </c>
      <c r="V24" s="425">
        <f t="shared" si="7"/>
        <v>78.975000000000009</v>
      </c>
      <c r="W24" s="634">
        <v>0</v>
      </c>
      <c r="X24" s="425">
        <f t="shared" si="8"/>
        <v>0</v>
      </c>
      <c r="Y24" s="634">
        <v>0</v>
      </c>
      <c r="Z24" s="425">
        <f t="shared" si="9"/>
        <v>0</v>
      </c>
      <c r="AA24" s="425"/>
      <c r="AB24" s="641">
        <f t="shared" si="0"/>
        <v>398.94</v>
      </c>
    </row>
    <row r="25" spans="1:28" x14ac:dyDescent="0.2">
      <c r="A25" s="17">
        <v>14</v>
      </c>
      <c r="B25" s="184" t="s">
        <v>888</v>
      </c>
      <c r="C25" s="341">
        <v>771</v>
      </c>
      <c r="D25" s="342">
        <v>865.44500000000005</v>
      </c>
      <c r="E25" s="322">
        <v>635</v>
      </c>
      <c r="F25" s="342">
        <v>622.75</v>
      </c>
      <c r="G25" s="322">
        <v>32</v>
      </c>
      <c r="H25" s="342">
        <v>38.880000000000003</v>
      </c>
      <c r="I25" s="341">
        <f t="shared" si="1"/>
        <v>104</v>
      </c>
      <c r="J25" s="342">
        <f t="shared" si="2"/>
        <v>203.81500000000005</v>
      </c>
      <c r="K25" s="322">
        <v>0</v>
      </c>
      <c r="M25" s="637">
        <v>191</v>
      </c>
      <c r="N25" s="425">
        <f t="shared" si="3"/>
        <v>114.6</v>
      </c>
      <c r="O25" s="634">
        <v>155</v>
      </c>
      <c r="P25" s="425">
        <f t="shared" si="4"/>
        <v>93</v>
      </c>
      <c r="Q25" s="634">
        <v>52</v>
      </c>
      <c r="R25" s="425">
        <f t="shared" si="5"/>
        <v>85.02</v>
      </c>
      <c r="S25" s="634">
        <v>86</v>
      </c>
      <c r="T25" s="425">
        <f t="shared" si="6"/>
        <v>140.61000000000001</v>
      </c>
      <c r="U25" s="634">
        <v>104</v>
      </c>
      <c r="V25" s="425">
        <f t="shared" si="7"/>
        <v>126.36000000000001</v>
      </c>
      <c r="W25" s="634">
        <v>21</v>
      </c>
      <c r="X25" s="425">
        <f t="shared" si="8"/>
        <v>46.620000000000005</v>
      </c>
      <c r="Y25" s="634">
        <v>5</v>
      </c>
      <c r="Z25" s="425">
        <f t="shared" si="9"/>
        <v>16.54</v>
      </c>
      <c r="AA25" s="425"/>
      <c r="AB25" s="641">
        <f t="shared" si="0"/>
        <v>622.75</v>
      </c>
    </row>
    <row r="26" spans="1:28" x14ac:dyDescent="0.2">
      <c r="A26" s="17">
        <v>15</v>
      </c>
      <c r="B26" s="184" t="s">
        <v>889</v>
      </c>
      <c r="C26" s="341">
        <v>1829</v>
      </c>
      <c r="D26" s="342">
        <v>2022.5980000000002</v>
      </c>
      <c r="E26" s="322">
        <v>872</v>
      </c>
      <c r="F26" s="342">
        <v>1354.4850000000001</v>
      </c>
      <c r="G26" s="322">
        <v>0</v>
      </c>
      <c r="H26" s="342">
        <v>0</v>
      </c>
      <c r="I26" s="341">
        <f t="shared" si="1"/>
        <v>957</v>
      </c>
      <c r="J26" s="342">
        <f t="shared" si="2"/>
        <v>668.11300000000006</v>
      </c>
      <c r="K26" s="322">
        <v>0</v>
      </c>
      <c r="M26" s="637">
        <v>648</v>
      </c>
      <c r="N26" s="425">
        <f t="shared" si="3"/>
        <v>388.8</v>
      </c>
      <c r="O26" s="634">
        <v>328</v>
      </c>
      <c r="P26" s="425">
        <f t="shared" si="4"/>
        <v>196.79999999999998</v>
      </c>
      <c r="Q26" s="634">
        <v>93</v>
      </c>
      <c r="R26" s="425">
        <f t="shared" si="5"/>
        <v>152.05500000000001</v>
      </c>
      <c r="S26" s="634">
        <v>196</v>
      </c>
      <c r="T26" s="425">
        <f t="shared" si="6"/>
        <v>320.45999999999998</v>
      </c>
      <c r="U26" s="634">
        <v>222</v>
      </c>
      <c r="V26" s="425">
        <f t="shared" si="7"/>
        <v>269.73</v>
      </c>
      <c r="W26" s="634">
        <v>12</v>
      </c>
      <c r="X26" s="425">
        <f t="shared" si="8"/>
        <v>26.64</v>
      </c>
      <c r="Y26" s="634">
        <v>0</v>
      </c>
      <c r="Z26" s="425">
        <f t="shared" si="9"/>
        <v>0</v>
      </c>
      <c r="AA26" s="425"/>
      <c r="AB26" s="641">
        <f t="shared" si="0"/>
        <v>1354.4850000000001</v>
      </c>
    </row>
    <row r="27" spans="1:28" x14ac:dyDescent="0.2">
      <c r="A27" s="17">
        <v>16</v>
      </c>
      <c r="B27" s="184" t="s">
        <v>890</v>
      </c>
      <c r="C27" s="341">
        <v>3100</v>
      </c>
      <c r="D27" s="342">
        <v>3053.145</v>
      </c>
      <c r="E27" s="322">
        <v>1855</v>
      </c>
      <c r="F27" s="342">
        <v>1830.33</v>
      </c>
      <c r="G27" s="322">
        <v>201</v>
      </c>
      <c r="H27" s="342">
        <v>203.20499999999998</v>
      </c>
      <c r="I27" s="341">
        <f t="shared" si="1"/>
        <v>1044</v>
      </c>
      <c r="J27" s="342">
        <f t="shared" si="2"/>
        <v>1019.6100000000001</v>
      </c>
      <c r="K27" s="322">
        <v>604</v>
      </c>
      <c r="M27" s="637">
        <v>536</v>
      </c>
      <c r="N27" s="425">
        <f t="shared" si="3"/>
        <v>321.59999999999997</v>
      </c>
      <c r="O27" s="634">
        <v>346</v>
      </c>
      <c r="P27" s="425">
        <f t="shared" si="4"/>
        <v>207.6</v>
      </c>
      <c r="Q27" s="634">
        <v>80</v>
      </c>
      <c r="R27" s="425">
        <f t="shared" si="5"/>
        <v>130.80000000000001</v>
      </c>
      <c r="S27" s="634">
        <v>173</v>
      </c>
      <c r="T27" s="425">
        <f t="shared" si="6"/>
        <v>282.85500000000002</v>
      </c>
      <c r="U27" s="634">
        <v>661</v>
      </c>
      <c r="V27" s="425">
        <f t="shared" si="7"/>
        <v>803.11500000000001</v>
      </c>
      <c r="W27" s="634">
        <v>38</v>
      </c>
      <c r="X27" s="425">
        <f t="shared" si="8"/>
        <v>84.360000000000014</v>
      </c>
      <c r="Y27" s="634">
        <v>0</v>
      </c>
      <c r="Z27" s="425">
        <f t="shared" si="9"/>
        <v>0</v>
      </c>
      <c r="AA27" s="425"/>
      <c r="AB27" s="641">
        <f t="shared" si="0"/>
        <v>1830.33</v>
      </c>
    </row>
    <row r="28" spans="1:28" x14ac:dyDescent="0.2">
      <c r="A28" s="17">
        <v>17</v>
      </c>
      <c r="B28" s="184" t="s">
        <v>891</v>
      </c>
      <c r="C28" s="341">
        <v>1908</v>
      </c>
      <c r="D28" s="342">
        <v>1983.6</v>
      </c>
      <c r="E28" s="322">
        <v>1305</v>
      </c>
      <c r="F28" s="342">
        <v>945.12000000000012</v>
      </c>
      <c r="G28" s="322">
        <v>57</v>
      </c>
      <c r="H28" s="342">
        <v>94.245000000000005</v>
      </c>
      <c r="I28" s="341">
        <f t="shared" si="1"/>
        <v>546</v>
      </c>
      <c r="J28" s="342">
        <f t="shared" si="2"/>
        <v>944.23499999999979</v>
      </c>
      <c r="K28" s="322">
        <v>0</v>
      </c>
      <c r="M28" s="637">
        <v>740</v>
      </c>
      <c r="N28" s="425">
        <f t="shared" si="3"/>
        <v>444</v>
      </c>
      <c r="O28" s="634">
        <v>322</v>
      </c>
      <c r="P28" s="425">
        <f t="shared" si="4"/>
        <v>193.2</v>
      </c>
      <c r="Q28" s="634">
        <v>48</v>
      </c>
      <c r="R28" s="425">
        <f t="shared" si="5"/>
        <v>78.48</v>
      </c>
      <c r="S28" s="634">
        <v>19</v>
      </c>
      <c r="T28" s="425">
        <f t="shared" si="6"/>
        <v>31.065000000000001</v>
      </c>
      <c r="U28" s="634">
        <v>145</v>
      </c>
      <c r="V28" s="425">
        <f t="shared" si="7"/>
        <v>176.17500000000001</v>
      </c>
      <c r="W28" s="634">
        <v>10</v>
      </c>
      <c r="X28" s="425">
        <f t="shared" si="8"/>
        <v>22.200000000000003</v>
      </c>
      <c r="Y28" s="634">
        <v>0</v>
      </c>
      <c r="Z28" s="425">
        <f t="shared" si="9"/>
        <v>0</v>
      </c>
      <c r="AA28" s="425"/>
      <c r="AB28" s="641">
        <f t="shared" si="0"/>
        <v>945.12000000000012</v>
      </c>
    </row>
    <row r="29" spans="1:28" x14ac:dyDescent="0.2">
      <c r="A29" s="17">
        <v>18</v>
      </c>
      <c r="B29" s="184" t="s">
        <v>892</v>
      </c>
      <c r="C29" s="341">
        <v>1734</v>
      </c>
      <c r="D29" s="342">
        <v>2044.615</v>
      </c>
      <c r="E29" s="322">
        <v>882</v>
      </c>
      <c r="F29" s="342">
        <v>609.92999999999995</v>
      </c>
      <c r="G29" s="322">
        <v>0</v>
      </c>
      <c r="H29" s="342">
        <v>0</v>
      </c>
      <c r="I29" s="341">
        <f t="shared" si="1"/>
        <v>852</v>
      </c>
      <c r="J29" s="342">
        <f t="shared" si="2"/>
        <v>1434.6849999999999</v>
      </c>
      <c r="K29" s="322">
        <v>808</v>
      </c>
      <c r="L29" s="623">
        <v>609.92999999999995</v>
      </c>
      <c r="M29" s="637">
        <v>469</v>
      </c>
      <c r="N29" s="425">
        <f t="shared" si="3"/>
        <v>281.39999999999998</v>
      </c>
      <c r="O29" s="634">
        <v>335</v>
      </c>
      <c r="P29" s="425">
        <f t="shared" si="4"/>
        <v>201</v>
      </c>
      <c r="Q29" s="634">
        <v>78</v>
      </c>
      <c r="R29" s="425">
        <f t="shared" si="5"/>
        <v>127.53</v>
      </c>
      <c r="S29" s="634">
        <v>0</v>
      </c>
      <c r="T29" s="425">
        <f t="shared" si="6"/>
        <v>0</v>
      </c>
      <c r="U29" s="634">
        <v>0</v>
      </c>
      <c r="V29" s="425">
        <f t="shared" si="7"/>
        <v>0</v>
      </c>
      <c r="W29" s="634">
        <v>0</v>
      </c>
      <c r="X29" s="425">
        <f t="shared" si="8"/>
        <v>0</v>
      </c>
      <c r="Y29" s="634">
        <v>0</v>
      </c>
      <c r="Z29" s="425">
        <f t="shared" si="9"/>
        <v>0</v>
      </c>
      <c r="AA29" s="425"/>
      <c r="AB29" s="641">
        <f t="shared" si="0"/>
        <v>609.92999999999995</v>
      </c>
    </row>
    <row r="30" spans="1:28" x14ac:dyDescent="0.2">
      <c r="A30" s="17">
        <v>19</v>
      </c>
      <c r="B30" s="184" t="s">
        <v>893</v>
      </c>
      <c r="C30" s="341">
        <v>2370</v>
      </c>
      <c r="D30" s="342">
        <v>2258.3850000000002</v>
      </c>
      <c r="E30" s="322">
        <v>2057</v>
      </c>
      <c r="F30" s="342">
        <v>1756.3500000000001</v>
      </c>
      <c r="G30" s="322">
        <v>56</v>
      </c>
      <c r="H30" s="342">
        <v>64.679999999999993</v>
      </c>
      <c r="I30" s="341">
        <f t="shared" si="1"/>
        <v>257</v>
      </c>
      <c r="J30" s="342">
        <f t="shared" si="2"/>
        <v>437.35500000000008</v>
      </c>
      <c r="K30" s="322">
        <v>0</v>
      </c>
      <c r="M30" s="637">
        <v>1066</v>
      </c>
      <c r="N30" s="425">
        <f t="shared" si="3"/>
        <v>639.6</v>
      </c>
      <c r="O30" s="634">
        <v>322</v>
      </c>
      <c r="P30" s="425">
        <f t="shared" si="4"/>
        <v>193.2</v>
      </c>
      <c r="Q30" s="634">
        <v>110</v>
      </c>
      <c r="R30" s="425">
        <f t="shared" si="5"/>
        <v>179.85</v>
      </c>
      <c r="S30" s="634">
        <v>200</v>
      </c>
      <c r="T30" s="425">
        <f t="shared" si="6"/>
        <v>327</v>
      </c>
      <c r="U30" s="634">
        <v>332</v>
      </c>
      <c r="V30" s="425">
        <f t="shared" si="7"/>
        <v>403.38000000000005</v>
      </c>
      <c r="W30" s="634">
        <v>6</v>
      </c>
      <c r="X30" s="425">
        <f t="shared" si="8"/>
        <v>13.32</v>
      </c>
      <c r="Y30" s="634">
        <v>0</v>
      </c>
      <c r="Z30" s="425">
        <f t="shared" si="9"/>
        <v>0</v>
      </c>
      <c r="AA30" s="425"/>
      <c r="AB30" s="641">
        <f t="shared" si="0"/>
        <v>1756.3500000000001</v>
      </c>
    </row>
    <row r="31" spans="1:28" x14ac:dyDescent="0.2">
      <c r="A31" s="17">
        <v>20</v>
      </c>
      <c r="B31" s="184" t="s">
        <v>894</v>
      </c>
      <c r="C31" s="341">
        <v>1187</v>
      </c>
      <c r="D31" s="342">
        <v>1405.56</v>
      </c>
      <c r="E31" s="322">
        <v>897</v>
      </c>
      <c r="F31" s="342">
        <v>932.44499999999994</v>
      </c>
      <c r="G31" s="322">
        <v>5</v>
      </c>
      <c r="H31" s="342">
        <v>11.100000000000001</v>
      </c>
      <c r="I31" s="341">
        <f t="shared" si="1"/>
        <v>285</v>
      </c>
      <c r="J31" s="342">
        <f t="shared" si="2"/>
        <v>462.01499999999999</v>
      </c>
      <c r="K31" s="322">
        <v>0</v>
      </c>
      <c r="M31" s="637">
        <v>349</v>
      </c>
      <c r="N31" s="425">
        <f t="shared" si="3"/>
        <v>209.4</v>
      </c>
      <c r="O31" s="634">
        <v>140</v>
      </c>
      <c r="P31" s="425">
        <f t="shared" si="4"/>
        <v>84</v>
      </c>
      <c r="Q31" s="634">
        <v>100</v>
      </c>
      <c r="R31" s="425">
        <f t="shared" si="5"/>
        <v>163.5</v>
      </c>
      <c r="S31" s="634">
        <v>235</v>
      </c>
      <c r="T31" s="425">
        <f t="shared" si="6"/>
        <v>384.22500000000002</v>
      </c>
      <c r="U31" s="634">
        <v>24</v>
      </c>
      <c r="V31" s="425">
        <f t="shared" si="7"/>
        <v>29.160000000000004</v>
      </c>
      <c r="W31" s="634">
        <v>28</v>
      </c>
      <c r="X31" s="425">
        <f t="shared" si="8"/>
        <v>62.160000000000004</v>
      </c>
      <c r="Y31" s="634">
        <v>0</v>
      </c>
      <c r="Z31" s="425">
        <f t="shared" si="9"/>
        <v>0</v>
      </c>
      <c r="AA31" s="425"/>
      <c r="AB31" s="641">
        <f t="shared" si="0"/>
        <v>932.44499999999994</v>
      </c>
    </row>
    <row r="32" spans="1:28" x14ac:dyDescent="0.2">
      <c r="A32" s="17">
        <v>21</v>
      </c>
      <c r="B32" s="184" t="s">
        <v>895</v>
      </c>
      <c r="C32" s="341">
        <v>1363</v>
      </c>
      <c r="D32" s="342">
        <v>1505.1</v>
      </c>
      <c r="E32" s="322">
        <v>861</v>
      </c>
      <c r="F32" s="342">
        <v>764.80499999999995</v>
      </c>
      <c r="G32" s="322">
        <v>73</v>
      </c>
      <c r="H32" s="342">
        <v>91.77</v>
      </c>
      <c r="I32" s="341">
        <f t="shared" si="1"/>
        <v>429</v>
      </c>
      <c r="J32" s="342">
        <f t="shared" si="2"/>
        <v>648.52499999999998</v>
      </c>
      <c r="K32" s="322">
        <v>0</v>
      </c>
      <c r="M32" s="637">
        <v>288</v>
      </c>
      <c r="N32" s="425">
        <f t="shared" si="3"/>
        <v>172.79999999999998</v>
      </c>
      <c r="O32" s="634">
        <v>229</v>
      </c>
      <c r="P32" s="425">
        <f t="shared" si="4"/>
        <v>137.4</v>
      </c>
      <c r="Q32" s="634">
        <v>64</v>
      </c>
      <c r="R32" s="425">
        <f t="shared" si="5"/>
        <v>104.64</v>
      </c>
      <c r="S32" s="634">
        <v>84</v>
      </c>
      <c r="T32" s="425">
        <f t="shared" si="6"/>
        <v>137.34</v>
      </c>
      <c r="U32" s="634">
        <v>175</v>
      </c>
      <c r="V32" s="425">
        <f t="shared" si="7"/>
        <v>212.625</v>
      </c>
      <c r="W32" s="634">
        <v>0</v>
      </c>
      <c r="X32" s="425">
        <f t="shared" si="8"/>
        <v>0</v>
      </c>
      <c r="Y32" s="634">
        <v>0</v>
      </c>
      <c r="Z32" s="425">
        <f t="shared" si="9"/>
        <v>0</v>
      </c>
      <c r="AA32" s="425"/>
      <c r="AB32" s="641">
        <f t="shared" si="0"/>
        <v>764.80499999999995</v>
      </c>
    </row>
    <row r="33" spans="1:28" x14ac:dyDescent="0.2">
      <c r="A33" s="17">
        <v>22</v>
      </c>
      <c r="B33" s="184" t="s">
        <v>896</v>
      </c>
      <c r="C33" s="341">
        <v>996</v>
      </c>
      <c r="D33" s="342">
        <v>1073.278</v>
      </c>
      <c r="E33" s="322">
        <v>847</v>
      </c>
      <c r="F33" s="342">
        <v>819.20300000000009</v>
      </c>
      <c r="G33" s="322">
        <v>17</v>
      </c>
      <c r="H33" s="342">
        <v>37.74</v>
      </c>
      <c r="I33" s="341">
        <f t="shared" si="1"/>
        <v>132</v>
      </c>
      <c r="J33" s="342">
        <f t="shared" si="2"/>
        <v>216.33499999999992</v>
      </c>
      <c r="K33" s="322">
        <v>0</v>
      </c>
      <c r="M33" s="637">
        <v>318</v>
      </c>
      <c r="N33" s="425">
        <f t="shared" si="3"/>
        <v>190.79999999999998</v>
      </c>
      <c r="O33" s="634">
        <v>172</v>
      </c>
      <c r="P33" s="425">
        <f t="shared" si="4"/>
        <v>103.2</v>
      </c>
      <c r="Q33" s="634">
        <v>72</v>
      </c>
      <c r="R33" s="425">
        <f t="shared" si="5"/>
        <v>117.72</v>
      </c>
      <c r="S33" s="634">
        <v>168</v>
      </c>
      <c r="T33" s="425">
        <f t="shared" si="6"/>
        <v>274.68</v>
      </c>
      <c r="U33" s="634">
        <v>81</v>
      </c>
      <c r="V33" s="425">
        <f t="shared" si="7"/>
        <v>98.415000000000006</v>
      </c>
      <c r="W33" s="634">
        <v>14</v>
      </c>
      <c r="X33" s="425">
        <f t="shared" si="8"/>
        <v>31.080000000000002</v>
      </c>
      <c r="Y33" s="634">
        <v>1</v>
      </c>
      <c r="Z33" s="425">
        <f t="shared" si="9"/>
        <v>3.3079999999999998</v>
      </c>
      <c r="AA33" s="425"/>
      <c r="AB33" s="641">
        <f t="shared" si="0"/>
        <v>819.20300000000009</v>
      </c>
    </row>
    <row r="34" spans="1:28" x14ac:dyDescent="0.2">
      <c r="A34" s="17">
        <v>23</v>
      </c>
      <c r="B34" s="184" t="s">
        <v>897</v>
      </c>
      <c r="C34" s="341">
        <v>1722</v>
      </c>
      <c r="D34" s="342">
        <v>1730.97</v>
      </c>
      <c r="E34" s="322">
        <v>1173</v>
      </c>
      <c r="F34" s="342">
        <v>967.44899999999996</v>
      </c>
      <c r="G34" s="322">
        <v>29</v>
      </c>
      <c r="H34" s="342">
        <v>41.7</v>
      </c>
      <c r="I34" s="341">
        <f t="shared" si="1"/>
        <v>520</v>
      </c>
      <c r="J34" s="342">
        <f t="shared" si="2"/>
        <v>721.82100000000003</v>
      </c>
      <c r="K34" s="322">
        <v>0</v>
      </c>
      <c r="M34" s="637">
        <v>643</v>
      </c>
      <c r="N34" s="425">
        <f t="shared" si="3"/>
        <v>385.8</v>
      </c>
      <c r="O34" s="634">
        <v>195</v>
      </c>
      <c r="P34" s="425">
        <f t="shared" si="4"/>
        <v>117</v>
      </c>
      <c r="Q34" s="634">
        <v>54</v>
      </c>
      <c r="R34" s="425">
        <f t="shared" si="5"/>
        <v>88.29</v>
      </c>
      <c r="S34" s="634">
        <v>62</v>
      </c>
      <c r="T34" s="425">
        <f t="shared" si="6"/>
        <v>101.37</v>
      </c>
      <c r="U34" s="634">
        <v>167</v>
      </c>
      <c r="V34" s="425">
        <f t="shared" si="7"/>
        <v>202.905</v>
      </c>
      <c r="W34" s="634">
        <v>28</v>
      </c>
      <c r="X34" s="425">
        <f t="shared" si="8"/>
        <v>62.160000000000004</v>
      </c>
      <c r="Y34" s="634">
        <v>3</v>
      </c>
      <c r="Z34" s="425">
        <f t="shared" si="9"/>
        <v>9.9239999999999995</v>
      </c>
      <c r="AA34" s="425"/>
      <c r="AB34" s="641">
        <f t="shared" si="0"/>
        <v>967.44899999999996</v>
      </c>
    </row>
    <row r="35" spans="1:28" x14ac:dyDescent="0.2">
      <c r="A35" s="17">
        <v>24</v>
      </c>
      <c r="B35" s="184" t="s">
        <v>898</v>
      </c>
      <c r="C35" s="341">
        <v>2007</v>
      </c>
      <c r="D35" s="342">
        <v>2178.645</v>
      </c>
      <c r="E35" s="322">
        <v>1736</v>
      </c>
      <c r="F35" s="342">
        <v>1789.71</v>
      </c>
      <c r="G35" s="322">
        <v>0</v>
      </c>
      <c r="H35" s="342">
        <v>0</v>
      </c>
      <c r="I35" s="341">
        <f t="shared" si="1"/>
        <v>271</v>
      </c>
      <c r="J35" s="342">
        <f t="shared" si="2"/>
        <v>388.93499999999995</v>
      </c>
      <c r="K35" s="322">
        <v>0</v>
      </c>
      <c r="M35" s="637">
        <v>456</v>
      </c>
      <c r="N35" s="425">
        <f t="shared" si="3"/>
        <v>273.59999999999997</v>
      </c>
      <c r="O35" s="634">
        <v>370</v>
      </c>
      <c r="P35" s="425">
        <f t="shared" si="4"/>
        <v>222</v>
      </c>
      <c r="Q35" s="634">
        <v>0</v>
      </c>
      <c r="R35" s="425">
        <f t="shared" si="5"/>
        <v>0</v>
      </c>
      <c r="S35" s="634">
        <v>220</v>
      </c>
      <c r="T35" s="425">
        <f t="shared" si="6"/>
        <v>359.7</v>
      </c>
      <c r="U35" s="634">
        <v>548</v>
      </c>
      <c r="V35" s="425">
        <f t="shared" si="7"/>
        <v>665.82</v>
      </c>
      <c r="W35" s="634">
        <v>121</v>
      </c>
      <c r="X35" s="425">
        <f t="shared" si="8"/>
        <v>268.62</v>
      </c>
      <c r="Y35" s="634">
        <v>0</v>
      </c>
      <c r="Z35" s="425">
        <f t="shared" si="9"/>
        <v>0</v>
      </c>
      <c r="AA35" s="425"/>
      <c r="AB35" s="641">
        <f t="shared" si="0"/>
        <v>1789.7399999999998</v>
      </c>
    </row>
    <row r="36" spans="1:28" s="29" customFormat="1" x14ac:dyDescent="0.2">
      <c r="A36" s="733" t="s">
        <v>15</v>
      </c>
      <c r="B36" s="735"/>
      <c r="C36" s="343">
        <f t="shared" ref="C36:J36" si="10">SUM(C12:C35)</f>
        <v>39001</v>
      </c>
      <c r="D36" s="344">
        <f t="shared" si="10"/>
        <v>40845.488999999994</v>
      </c>
      <c r="E36" s="324">
        <f t="shared" si="10"/>
        <v>29656</v>
      </c>
      <c r="F36" s="344">
        <f t="shared" si="10"/>
        <v>28028.103999999996</v>
      </c>
      <c r="G36" s="324">
        <f t="shared" si="10"/>
        <v>1203</v>
      </c>
      <c r="H36" s="344">
        <f t="shared" si="10"/>
        <v>1587.4529999999997</v>
      </c>
      <c r="I36" s="324">
        <f t="shared" si="10"/>
        <v>8142</v>
      </c>
      <c r="J36" s="344">
        <f t="shared" si="10"/>
        <v>11229.931999999997</v>
      </c>
      <c r="K36" s="28">
        <f>SUM(K12:K35)</f>
        <v>2143</v>
      </c>
      <c r="M36" s="638">
        <f>SUM(M12:M35)</f>
        <v>12114</v>
      </c>
      <c r="N36" s="632">
        <f>SUM(N12:N35)</f>
        <v>7268.4000000000005</v>
      </c>
      <c r="O36" s="638">
        <f>SUM(O12:O35)</f>
        <v>6026</v>
      </c>
      <c r="P36" s="632">
        <f>SUM(P12:P35)</f>
        <v>3615.6</v>
      </c>
      <c r="Q36" s="640">
        <f>SUM(Q12:Q35)</f>
        <v>1668</v>
      </c>
      <c r="R36" s="425">
        <f t="shared" si="5"/>
        <v>2727.18</v>
      </c>
      <c r="S36" s="640">
        <f>SUM(S12:S35)</f>
        <v>3139</v>
      </c>
      <c r="T36" s="425">
        <f t="shared" si="6"/>
        <v>5132.2650000000003</v>
      </c>
      <c r="U36" s="640">
        <f>SUM(U12:U35)</f>
        <v>5655</v>
      </c>
      <c r="V36" s="632">
        <f>SUM(V12:V35)</f>
        <v>6870.8249999999998</v>
      </c>
      <c r="W36" s="640">
        <f>SUM(W12:W35)</f>
        <v>986</v>
      </c>
      <c r="X36" s="425">
        <f t="shared" si="8"/>
        <v>2188.92</v>
      </c>
      <c r="Y36" s="640">
        <f>SUM(Y12:Y35)</f>
        <v>68</v>
      </c>
      <c r="Z36" s="632">
        <f>SUM(Z12:Z35)</f>
        <v>224.94399999999999</v>
      </c>
      <c r="AA36" s="632"/>
      <c r="AB36" s="641">
        <f t="shared" si="0"/>
        <v>28028.134000000002</v>
      </c>
    </row>
    <row r="37" spans="1:28" s="12" customFormat="1" x14ac:dyDescent="0.2">
      <c r="A37" s="10" t="s">
        <v>37</v>
      </c>
      <c r="M37" s="639"/>
      <c r="N37"/>
      <c r="O37" s="639"/>
      <c r="Q37" s="639"/>
      <c r="S37" s="639"/>
      <c r="U37" s="639"/>
      <c r="W37" s="639"/>
      <c r="Y37" s="639"/>
      <c r="AB37" s="641"/>
    </row>
    <row r="38" spans="1:28" s="12" customFormat="1" x14ac:dyDescent="0.2">
      <c r="A38" s="10"/>
      <c r="M38" s="639"/>
      <c r="O38" s="639"/>
      <c r="Q38" s="639"/>
      <c r="S38" s="639"/>
      <c r="U38" s="639"/>
      <c r="W38" s="639"/>
      <c r="Y38" s="639"/>
      <c r="AB38" s="639"/>
    </row>
    <row r="39" spans="1:28" s="12" customFormat="1" x14ac:dyDescent="0.2">
      <c r="A39" s="10"/>
      <c r="M39" s="637">
        <v>0</v>
      </c>
      <c r="N39" s="425">
        <f>M39*0.6</f>
        <v>0</v>
      </c>
      <c r="O39" s="634">
        <v>0</v>
      </c>
      <c r="P39" s="425">
        <f>O39*0.6</f>
        <v>0</v>
      </c>
      <c r="Q39" s="634">
        <v>0</v>
      </c>
      <c r="R39" s="425">
        <f>Q39*1.635</f>
        <v>0</v>
      </c>
      <c r="S39" s="634">
        <v>90</v>
      </c>
      <c r="T39" s="425">
        <f>S39*1.215</f>
        <v>109.35000000000001</v>
      </c>
      <c r="U39" s="634">
        <v>82</v>
      </c>
      <c r="V39" s="425">
        <f>U39*1.635</f>
        <v>134.07</v>
      </c>
      <c r="W39" s="634">
        <v>0</v>
      </c>
      <c r="X39" s="425">
        <f>W39*2.22</f>
        <v>0</v>
      </c>
      <c r="Y39" s="634">
        <v>0</v>
      </c>
      <c r="Z39" s="425">
        <f>Y39*3.308</f>
        <v>0</v>
      </c>
      <c r="AA39" s="355">
        <f>M39+O39+Q39+S39+U39+W39+Y39</f>
        <v>172</v>
      </c>
      <c r="AB39" s="641">
        <f>N39+P39+R39+T39+V39+X39+Z39</f>
        <v>243.42000000000002</v>
      </c>
    </row>
    <row r="40" spans="1:28" s="12" customFormat="1" x14ac:dyDescent="0.2">
      <c r="A40" s="10"/>
      <c r="M40" s="637">
        <v>0</v>
      </c>
      <c r="N40" s="425">
        <f t="shared" ref="N40:N62" si="11">M40*0.6</f>
        <v>0</v>
      </c>
      <c r="O40" s="634">
        <v>0</v>
      </c>
      <c r="P40" s="425">
        <f t="shared" ref="P40:P62" si="12">O40*0.6</f>
        <v>0</v>
      </c>
      <c r="Q40" s="634">
        <v>0</v>
      </c>
      <c r="R40" s="425">
        <f t="shared" ref="R40:R63" si="13">Q40*1.635</f>
        <v>0</v>
      </c>
      <c r="S40" s="634">
        <v>0</v>
      </c>
      <c r="T40" s="425">
        <f t="shared" ref="T40:T62" si="14">S40*1.215</f>
        <v>0</v>
      </c>
      <c r="U40" s="634">
        <v>5</v>
      </c>
      <c r="V40" s="425">
        <f t="shared" ref="V40:V62" si="15">U40*1.635</f>
        <v>8.1750000000000007</v>
      </c>
      <c r="W40" s="634">
        <v>0</v>
      </c>
      <c r="X40" s="425">
        <f t="shared" ref="X40:X63" si="16">W40*2.22</f>
        <v>0</v>
      </c>
      <c r="Y40" s="634">
        <v>0</v>
      </c>
      <c r="Z40" s="425">
        <f t="shared" ref="Z40:Z62" si="17">Y40*3.308</f>
        <v>0</v>
      </c>
      <c r="AA40" s="355">
        <f t="shared" ref="AA40:AA62" si="18">M40+O40+Q40+S40+U40+W40+Y40</f>
        <v>5</v>
      </c>
      <c r="AB40" s="641">
        <f t="shared" ref="AB40:AB63" si="19">N40+P40+R40+T40+V40+X40+Z40</f>
        <v>8.1750000000000007</v>
      </c>
    </row>
    <row r="41" spans="1:28" s="15" customFormat="1" ht="13.9" customHeight="1" x14ac:dyDescent="0.2">
      <c r="A41" s="671"/>
      <c r="B41" s="667"/>
      <c r="C41" s="667"/>
      <c r="D41" s="667"/>
      <c r="E41" s="667"/>
      <c r="F41" s="667"/>
      <c r="G41" s="667"/>
      <c r="H41" s="667"/>
      <c r="I41" s="757" t="s">
        <v>1107</v>
      </c>
      <c r="J41" s="757"/>
      <c r="K41" s="76"/>
      <c r="L41" s="76"/>
      <c r="M41" s="637">
        <v>0</v>
      </c>
      <c r="N41" s="425">
        <f t="shared" si="11"/>
        <v>0</v>
      </c>
      <c r="O41" s="634">
        <v>0</v>
      </c>
      <c r="P41" s="425">
        <f t="shared" si="12"/>
        <v>0</v>
      </c>
      <c r="Q41" s="634">
        <v>0</v>
      </c>
      <c r="R41" s="425">
        <f t="shared" si="13"/>
        <v>0</v>
      </c>
      <c r="S41" s="634">
        <v>0</v>
      </c>
      <c r="T41" s="425">
        <f t="shared" si="14"/>
        <v>0</v>
      </c>
      <c r="U41" s="634">
        <v>1</v>
      </c>
      <c r="V41" s="425">
        <f t="shared" si="15"/>
        <v>1.635</v>
      </c>
      <c r="W41" s="634">
        <v>0</v>
      </c>
      <c r="X41" s="425">
        <f t="shared" si="16"/>
        <v>0</v>
      </c>
      <c r="Y41" s="634">
        <v>0</v>
      </c>
      <c r="Z41" s="425">
        <f t="shared" si="17"/>
        <v>0</v>
      </c>
      <c r="AA41" s="355">
        <f t="shared" si="18"/>
        <v>1</v>
      </c>
      <c r="AB41" s="641">
        <f t="shared" si="19"/>
        <v>1.635</v>
      </c>
    </row>
    <row r="42" spans="1:28" s="15" customFormat="1" ht="13.15" customHeight="1" x14ac:dyDescent="0.2">
      <c r="A42" s="758" t="s">
        <v>1108</v>
      </c>
      <c r="B42" s="758"/>
      <c r="C42" s="758"/>
      <c r="D42" s="758"/>
      <c r="E42" s="758"/>
      <c r="F42" s="758"/>
      <c r="G42" s="758"/>
      <c r="H42" s="758"/>
      <c r="I42" s="758"/>
      <c r="J42" s="758"/>
      <c r="K42" s="567"/>
      <c r="L42" s="76"/>
      <c r="M42" s="637">
        <v>0</v>
      </c>
      <c r="N42" s="425">
        <f t="shared" si="11"/>
        <v>0</v>
      </c>
      <c r="O42" s="634">
        <v>0</v>
      </c>
      <c r="P42" s="425">
        <f t="shared" si="12"/>
        <v>0</v>
      </c>
      <c r="Q42" s="634">
        <v>0</v>
      </c>
      <c r="R42" s="425">
        <f t="shared" si="13"/>
        <v>0</v>
      </c>
      <c r="S42" s="634">
        <v>0</v>
      </c>
      <c r="T42" s="425">
        <f t="shared" si="14"/>
        <v>0</v>
      </c>
      <c r="U42" s="634">
        <v>0</v>
      </c>
      <c r="V42" s="425">
        <f t="shared" si="15"/>
        <v>0</v>
      </c>
      <c r="W42" s="634">
        <v>0</v>
      </c>
      <c r="X42" s="425">
        <f t="shared" si="16"/>
        <v>0</v>
      </c>
      <c r="Y42" s="634">
        <v>0</v>
      </c>
      <c r="Z42" s="425">
        <f t="shared" si="17"/>
        <v>0</v>
      </c>
      <c r="AA42" s="355">
        <f t="shared" si="18"/>
        <v>0</v>
      </c>
      <c r="AB42" s="641">
        <f t="shared" si="19"/>
        <v>0</v>
      </c>
    </row>
    <row r="43" spans="1:28" s="15" customFormat="1" ht="13.15" customHeight="1" x14ac:dyDescent="0.2">
      <c r="A43" s="758" t="s">
        <v>1111</v>
      </c>
      <c r="B43" s="758"/>
      <c r="C43" s="758"/>
      <c r="D43" s="758"/>
      <c r="E43" s="758"/>
      <c r="F43" s="758"/>
      <c r="G43" s="758"/>
      <c r="H43" s="758"/>
      <c r="I43" s="758"/>
      <c r="J43" s="758"/>
      <c r="K43" s="567"/>
      <c r="L43" s="76"/>
      <c r="M43" s="637">
        <v>0</v>
      </c>
      <c r="N43" s="425">
        <f t="shared" si="11"/>
        <v>0</v>
      </c>
      <c r="O43" s="634">
        <v>1</v>
      </c>
      <c r="P43" s="425">
        <f t="shared" si="12"/>
        <v>0.6</v>
      </c>
      <c r="Q43" s="634">
        <v>0</v>
      </c>
      <c r="R43" s="425">
        <f t="shared" si="13"/>
        <v>0</v>
      </c>
      <c r="S43" s="634">
        <v>0</v>
      </c>
      <c r="T43" s="425">
        <f t="shared" si="14"/>
        <v>0</v>
      </c>
      <c r="U43" s="634">
        <v>0</v>
      </c>
      <c r="V43" s="425">
        <f t="shared" si="15"/>
        <v>0</v>
      </c>
      <c r="W43" s="634">
        <v>0</v>
      </c>
      <c r="X43" s="425">
        <f t="shared" si="16"/>
        <v>0</v>
      </c>
      <c r="Y43" s="634">
        <v>0</v>
      </c>
      <c r="Z43" s="425">
        <f t="shared" si="17"/>
        <v>0</v>
      </c>
      <c r="AA43" s="355">
        <f t="shared" si="18"/>
        <v>1</v>
      </c>
      <c r="AB43" s="641">
        <f t="shared" si="19"/>
        <v>0.6</v>
      </c>
    </row>
    <row r="44" spans="1:28" s="15" customFormat="1" x14ac:dyDescent="0.2">
      <c r="A44" s="670" t="s">
        <v>1114</v>
      </c>
      <c r="B44" s="670"/>
      <c r="C44" s="670"/>
      <c r="D44" s="670"/>
      <c r="E44" s="670"/>
      <c r="F44" s="670"/>
      <c r="G44" s="671"/>
      <c r="H44" s="931" t="s">
        <v>1116</v>
      </c>
      <c r="I44" s="931"/>
      <c r="J44" s="671"/>
      <c r="K44" s="567"/>
      <c r="M44" s="637">
        <v>0</v>
      </c>
      <c r="N44" s="425">
        <f t="shared" si="11"/>
        <v>0</v>
      </c>
      <c r="O44" s="634">
        <v>18</v>
      </c>
      <c r="P44" s="425">
        <f t="shared" si="12"/>
        <v>10.799999999999999</v>
      </c>
      <c r="Q44" s="634">
        <v>12</v>
      </c>
      <c r="R44" s="425">
        <f t="shared" si="13"/>
        <v>19.62</v>
      </c>
      <c r="S44" s="634">
        <v>9</v>
      </c>
      <c r="T44" s="425">
        <f t="shared" si="14"/>
        <v>10.935</v>
      </c>
      <c r="U44" s="634">
        <v>14</v>
      </c>
      <c r="V44" s="425">
        <f t="shared" si="15"/>
        <v>22.89</v>
      </c>
      <c r="W44" s="634">
        <v>17</v>
      </c>
      <c r="X44" s="425">
        <f t="shared" si="16"/>
        <v>37.74</v>
      </c>
      <c r="Y44" s="634">
        <v>6</v>
      </c>
      <c r="Z44" s="425">
        <f t="shared" si="17"/>
        <v>19.847999999999999</v>
      </c>
      <c r="AA44" s="355">
        <f t="shared" si="18"/>
        <v>76</v>
      </c>
      <c r="AB44" s="641">
        <f t="shared" si="19"/>
        <v>121.83300000000001</v>
      </c>
    </row>
    <row r="45" spans="1:28" x14ac:dyDescent="0.2">
      <c r="A45" s="876"/>
      <c r="B45" s="876"/>
      <c r="C45" s="876"/>
      <c r="D45" s="876"/>
      <c r="E45" s="876"/>
      <c r="F45" s="876"/>
      <c r="G45" s="876"/>
      <c r="H45" s="876"/>
      <c r="I45" s="876"/>
      <c r="J45" s="876"/>
      <c r="M45" s="637">
        <v>0</v>
      </c>
      <c r="N45" s="425">
        <f t="shared" si="11"/>
        <v>0</v>
      </c>
      <c r="O45" s="634">
        <v>0</v>
      </c>
      <c r="P45" s="425">
        <f t="shared" si="12"/>
        <v>0</v>
      </c>
      <c r="Q45" s="634">
        <v>0</v>
      </c>
      <c r="R45" s="425">
        <f t="shared" si="13"/>
        <v>0</v>
      </c>
      <c r="S45" s="634">
        <v>0</v>
      </c>
      <c r="T45" s="425">
        <f t="shared" si="14"/>
        <v>0</v>
      </c>
      <c r="U45" s="634">
        <v>0</v>
      </c>
      <c r="V45" s="425">
        <f t="shared" si="15"/>
        <v>0</v>
      </c>
      <c r="W45" s="634">
        <v>0</v>
      </c>
      <c r="X45" s="425">
        <f t="shared" si="16"/>
        <v>0</v>
      </c>
      <c r="Y45" s="634">
        <v>0</v>
      </c>
      <c r="Z45" s="425">
        <f t="shared" si="17"/>
        <v>0</v>
      </c>
      <c r="AA45" s="355">
        <f t="shared" si="18"/>
        <v>0</v>
      </c>
      <c r="AB45" s="641">
        <f t="shared" si="19"/>
        <v>0</v>
      </c>
    </row>
    <row r="46" spans="1:28" x14ac:dyDescent="0.2">
      <c r="M46" s="637">
        <v>0</v>
      </c>
      <c r="N46" s="425">
        <f t="shared" si="11"/>
        <v>0</v>
      </c>
      <c r="O46" s="634">
        <v>87</v>
      </c>
      <c r="P46" s="425">
        <f t="shared" si="12"/>
        <v>52.199999999999996</v>
      </c>
      <c r="Q46" s="634">
        <v>0</v>
      </c>
      <c r="R46" s="425">
        <f t="shared" si="13"/>
        <v>0</v>
      </c>
      <c r="S46" s="634">
        <v>10</v>
      </c>
      <c r="T46" s="425">
        <f t="shared" si="14"/>
        <v>12.15</v>
      </c>
      <c r="U46" s="634">
        <v>18</v>
      </c>
      <c r="V46" s="425">
        <f t="shared" si="15"/>
        <v>29.43</v>
      </c>
      <c r="W46" s="634">
        <v>13</v>
      </c>
      <c r="X46" s="425">
        <f t="shared" si="16"/>
        <v>28.860000000000003</v>
      </c>
      <c r="Y46" s="634">
        <v>0</v>
      </c>
      <c r="Z46" s="425">
        <f t="shared" si="17"/>
        <v>0</v>
      </c>
      <c r="AA46" s="355">
        <f t="shared" si="18"/>
        <v>128</v>
      </c>
      <c r="AB46" s="641">
        <f t="shared" si="19"/>
        <v>122.64</v>
      </c>
    </row>
    <row r="47" spans="1:28" x14ac:dyDescent="0.2">
      <c r="M47" s="637">
        <v>0</v>
      </c>
      <c r="N47" s="425">
        <f t="shared" si="11"/>
        <v>0</v>
      </c>
      <c r="O47" s="634">
        <v>0</v>
      </c>
      <c r="P47" s="425">
        <f t="shared" si="12"/>
        <v>0</v>
      </c>
      <c r="Q47" s="634">
        <v>0</v>
      </c>
      <c r="R47" s="425">
        <f t="shared" si="13"/>
        <v>0</v>
      </c>
      <c r="S47" s="634">
        <v>0</v>
      </c>
      <c r="T47" s="425">
        <f t="shared" si="14"/>
        <v>0</v>
      </c>
      <c r="U47" s="634">
        <v>0</v>
      </c>
      <c r="V47" s="425">
        <f t="shared" si="15"/>
        <v>0</v>
      </c>
      <c r="W47" s="634">
        <v>0</v>
      </c>
      <c r="X47" s="425">
        <f t="shared" si="16"/>
        <v>0</v>
      </c>
      <c r="Y47" s="634">
        <v>0</v>
      </c>
      <c r="Z47" s="425">
        <f t="shared" si="17"/>
        <v>0</v>
      </c>
      <c r="AA47" s="355">
        <f t="shared" si="18"/>
        <v>0</v>
      </c>
      <c r="AB47" s="641">
        <f t="shared" si="19"/>
        <v>0</v>
      </c>
    </row>
    <row r="48" spans="1:28" x14ac:dyDescent="0.2">
      <c r="M48" s="637">
        <v>0</v>
      </c>
      <c r="N48" s="425">
        <f t="shared" si="11"/>
        <v>0</v>
      </c>
      <c r="O48" s="634">
        <v>122</v>
      </c>
      <c r="P48" s="425">
        <f t="shared" si="12"/>
        <v>73.2</v>
      </c>
      <c r="Q48" s="634">
        <v>8</v>
      </c>
      <c r="R48" s="425">
        <f t="shared" si="13"/>
        <v>13.08</v>
      </c>
      <c r="S48" s="634">
        <v>21</v>
      </c>
      <c r="T48" s="425">
        <f t="shared" si="14"/>
        <v>25.515000000000001</v>
      </c>
      <c r="U48" s="634">
        <v>156</v>
      </c>
      <c r="V48" s="425">
        <f t="shared" si="15"/>
        <v>255.06</v>
      </c>
      <c r="W48" s="634">
        <v>8</v>
      </c>
      <c r="X48" s="425">
        <f t="shared" si="16"/>
        <v>17.760000000000002</v>
      </c>
      <c r="Y48" s="634">
        <v>0</v>
      </c>
      <c r="Z48" s="425">
        <f t="shared" si="17"/>
        <v>0</v>
      </c>
      <c r="AA48" s="355">
        <f t="shared" si="18"/>
        <v>315</v>
      </c>
      <c r="AB48" s="641">
        <f t="shared" si="19"/>
        <v>384.61500000000001</v>
      </c>
    </row>
    <row r="49" spans="13:28" x14ac:dyDescent="0.2">
      <c r="M49" s="637">
        <v>0</v>
      </c>
      <c r="N49" s="425">
        <f t="shared" si="11"/>
        <v>0</v>
      </c>
      <c r="O49" s="634">
        <v>0</v>
      </c>
      <c r="P49" s="425">
        <f t="shared" si="12"/>
        <v>0</v>
      </c>
      <c r="Q49" s="634">
        <v>0</v>
      </c>
      <c r="R49" s="425">
        <f t="shared" si="13"/>
        <v>0</v>
      </c>
      <c r="S49" s="634">
        <v>9</v>
      </c>
      <c r="T49" s="425">
        <f t="shared" si="14"/>
        <v>10.935</v>
      </c>
      <c r="U49" s="634">
        <v>23</v>
      </c>
      <c r="V49" s="425">
        <f t="shared" si="15"/>
        <v>37.604999999999997</v>
      </c>
      <c r="W49" s="634">
        <v>29</v>
      </c>
      <c r="X49" s="425">
        <f t="shared" si="16"/>
        <v>64.38000000000001</v>
      </c>
      <c r="Y49" s="634">
        <v>0</v>
      </c>
      <c r="Z49" s="425">
        <f t="shared" si="17"/>
        <v>0</v>
      </c>
      <c r="AA49" s="355">
        <f t="shared" si="18"/>
        <v>61</v>
      </c>
      <c r="AB49" s="641">
        <f t="shared" si="19"/>
        <v>112.92000000000002</v>
      </c>
    </row>
    <row r="50" spans="13:28" x14ac:dyDescent="0.2">
      <c r="M50" s="637">
        <v>0</v>
      </c>
      <c r="N50" s="425">
        <f t="shared" si="11"/>
        <v>0</v>
      </c>
      <c r="O50" s="634">
        <v>0</v>
      </c>
      <c r="P50" s="425">
        <f t="shared" si="12"/>
        <v>0</v>
      </c>
      <c r="Q50" s="634">
        <v>0</v>
      </c>
      <c r="R50" s="425">
        <f t="shared" si="13"/>
        <v>0</v>
      </c>
      <c r="S50" s="634">
        <v>0</v>
      </c>
      <c r="T50" s="425">
        <f t="shared" si="14"/>
        <v>0</v>
      </c>
      <c r="U50" s="634">
        <v>1</v>
      </c>
      <c r="V50" s="425">
        <f t="shared" si="15"/>
        <v>1.635</v>
      </c>
      <c r="W50" s="634">
        <v>3</v>
      </c>
      <c r="X50" s="425">
        <f t="shared" si="16"/>
        <v>6.66</v>
      </c>
      <c r="Y50" s="634">
        <v>0</v>
      </c>
      <c r="Z50" s="425">
        <f t="shared" si="17"/>
        <v>0</v>
      </c>
      <c r="AA50" s="355">
        <f t="shared" si="18"/>
        <v>4</v>
      </c>
      <c r="AB50" s="641">
        <f t="shared" si="19"/>
        <v>8.2949999999999999</v>
      </c>
    </row>
    <row r="51" spans="13:28" x14ac:dyDescent="0.2">
      <c r="M51" s="637">
        <v>0</v>
      </c>
      <c r="N51" s="425">
        <f t="shared" si="11"/>
        <v>0</v>
      </c>
      <c r="O51" s="634">
        <v>0</v>
      </c>
      <c r="P51" s="425">
        <f t="shared" si="12"/>
        <v>0</v>
      </c>
      <c r="Q51" s="634">
        <v>0</v>
      </c>
      <c r="R51" s="425">
        <f t="shared" si="13"/>
        <v>0</v>
      </c>
      <c r="S51" s="634">
        <v>0</v>
      </c>
      <c r="T51" s="425">
        <f t="shared" si="14"/>
        <v>0</v>
      </c>
      <c r="U51" s="634">
        <v>0</v>
      </c>
      <c r="V51" s="425">
        <f t="shared" si="15"/>
        <v>0</v>
      </c>
      <c r="W51" s="634">
        <v>0</v>
      </c>
      <c r="X51" s="425">
        <f t="shared" si="16"/>
        <v>0</v>
      </c>
      <c r="Y51" s="634">
        <v>0</v>
      </c>
      <c r="Z51" s="425">
        <f t="shared" si="17"/>
        <v>0</v>
      </c>
      <c r="AA51" s="355">
        <f t="shared" si="18"/>
        <v>0</v>
      </c>
      <c r="AB51" s="641">
        <f t="shared" si="19"/>
        <v>0</v>
      </c>
    </row>
    <row r="52" spans="13:28" x14ac:dyDescent="0.2">
      <c r="M52" s="637">
        <v>0</v>
      </c>
      <c r="N52" s="425">
        <f t="shared" si="11"/>
        <v>0</v>
      </c>
      <c r="O52" s="634">
        <v>0</v>
      </c>
      <c r="P52" s="425">
        <f t="shared" si="12"/>
        <v>0</v>
      </c>
      <c r="Q52" s="634">
        <v>0</v>
      </c>
      <c r="R52" s="425">
        <f t="shared" si="13"/>
        <v>0</v>
      </c>
      <c r="S52" s="634">
        <v>32</v>
      </c>
      <c r="T52" s="425">
        <f t="shared" si="14"/>
        <v>38.880000000000003</v>
      </c>
      <c r="U52" s="634">
        <v>0</v>
      </c>
      <c r="V52" s="425">
        <f t="shared" si="15"/>
        <v>0</v>
      </c>
      <c r="W52" s="634">
        <v>0</v>
      </c>
      <c r="X52" s="425">
        <f t="shared" si="16"/>
        <v>0</v>
      </c>
      <c r="Y52" s="634">
        <v>0</v>
      </c>
      <c r="Z52" s="425">
        <f t="shared" si="17"/>
        <v>0</v>
      </c>
      <c r="AA52" s="355">
        <f t="shared" si="18"/>
        <v>32</v>
      </c>
      <c r="AB52" s="641">
        <f t="shared" si="19"/>
        <v>38.880000000000003</v>
      </c>
    </row>
    <row r="53" spans="13:28" x14ac:dyDescent="0.2">
      <c r="M53" s="637">
        <v>0</v>
      </c>
      <c r="N53" s="425">
        <f t="shared" si="11"/>
        <v>0</v>
      </c>
      <c r="O53" s="634">
        <v>0</v>
      </c>
      <c r="P53" s="425">
        <f t="shared" si="12"/>
        <v>0</v>
      </c>
      <c r="Q53" s="634">
        <v>0</v>
      </c>
      <c r="R53" s="425">
        <f t="shared" si="13"/>
        <v>0</v>
      </c>
      <c r="S53" s="634">
        <v>0</v>
      </c>
      <c r="T53" s="425">
        <f t="shared" si="14"/>
        <v>0</v>
      </c>
      <c r="U53" s="634">
        <v>0</v>
      </c>
      <c r="V53" s="425">
        <f t="shared" si="15"/>
        <v>0</v>
      </c>
      <c r="W53" s="634">
        <v>0</v>
      </c>
      <c r="X53" s="425">
        <f t="shared" si="16"/>
        <v>0</v>
      </c>
      <c r="Y53" s="634">
        <v>0</v>
      </c>
      <c r="Z53" s="425">
        <f t="shared" si="17"/>
        <v>0</v>
      </c>
      <c r="AA53" s="355">
        <f t="shared" si="18"/>
        <v>0</v>
      </c>
      <c r="AB53" s="641">
        <f t="shared" si="19"/>
        <v>0</v>
      </c>
    </row>
    <row r="54" spans="13:28" x14ac:dyDescent="0.2">
      <c r="M54" s="637">
        <v>0</v>
      </c>
      <c r="N54" s="425">
        <f t="shared" si="11"/>
        <v>0</v>
      </c>
      <c r="O54" s="634">
        <v>72</v>
      </c>
      <c r="P54" s="425">
        <f t="shared" si="12"/>
        <v>43.199999999999996</v>
      </c>
      <c r="Q54" s="634">
        <v>11</v>
      </c>
      <c r="R54" s="425">
        <f t="shared" si="13"/>
        <v>17.984999999999999</v>
      </c>
      <c r="S54" s="634">
        <v>10</v>
      </c>
      <c r="T54" s="425">
        <f t="shared" si="14"/>
        <v>12.15</v>
      </c>
      <c r="U54" s="634">
        <v>74</v>
      </c>
      <c r="V54" s="425">
        <f t="shared" si="15"/>
        <v>120.99</v>
      </c>
      <c r="W54" s="634">
        <v>4</v>
      </c>
      <c r="X54" s="425">
        <f t="shared" si="16"/>
        <v>8.8800000000000008</v>
      </c>
      <c r="Y54" s="634">
        <v>0</v>
      </c>
      <c r="Z54" s="425">
        <f t="shared" si="17"/>
        <v>0</v>
      </c>
      <c r="AA54" s="355">
        <f t="shared" si="18"/>
        <v>171</v>
      </c>
      <c r="AB54" s="641">
        <f t="shared" si="19"/>
        <v>203.20499999999998</v>
      </c>
    </row>
    <row r="55" spans="13:28" x14ac:dyDescent="0.2">
      <c r="M55" s="637">
        <v>0</v>
      </c>
      <c r="N55" s="425">
        <f t="shared" si="11"/>
        <v>0</v>
      </c>
      <c r="O55" s="634">
        <v>0</v>
      </c>
      <c r="P55" s="425">
        <f t="shared" si="12"/>
        <v>0</v>
      </c>
      <c r="Q55" s="634">
        <v>0</v>
      </c>
      <c r="R55" s="425">
        <f t="shared" si="13"/>
        <v>0</v>
      </c>
      <c r="S55" s="634">
        <v>17</v>
      </c>
      <c r="T55" s="425">
        <f t="shared" si="14"/>
        <v>20.655000000000001</v>
      </c>
      <c r="U55" s="634">
        <v>26</v>
      </c>
      <c r="V55" s="425">
        <f t="shared" si="15"/>
        <v>42.51</v>
      </c>
      <c r="W55" s="634">
        <v>14</v>
      </c>
      <c r="X55" s="425">
        <f t="shared" si="16"/>
        <v>31.080000000000002</v>
      </c>
      <c r="Y55" s="634">
        <v>0</v>
      </c>
      <c r="Z55" s="425">
        <f t="shared" si="17"/>
        <v>0</v>
      </c>
      <c r="AA55" s="355">
        <f t="shared" si="18"/>
        <v>57</v>
      </c>
      <c r="AB55" s="641">
        <f t="shared" si="19"/>
        <v>94.245000000000005</v>
      </c>
    </row>
    <row r="56" spans="13:28" x14ac:dyDescent="0.2">
      <c r="M56" s="637">
        <v>0</v>
      </c>
      <c r="N56" s="425">
        <f t="shared" si="11"/>
        <v>0</v>
      </c>
      <c r="O56" s="634">
        <v>0</v>
      </c>
      <c r="P56" s="425">
        <f t="shared" si="12"/>
        <v>0</v>
      </c>
      <c r="Q56" s="634">
        <v>0</v>
      </c>
      <c r="R56" s="425">
        <f t="shared" si="13"/>
        <v>0</v>
      </c>
      <c r="S56" s="634">
        <v>0</v>
      </c>
      <c r="T56" s="425">
        <f t="shared" si="14"/>
        <v>0</v>
      </c>
      <c r="U56" s="634">
        <v>0</v>
      </c>
      <c r="V56" s="425">
        <f t="shared" si="15"/>
        <v>0</v>
      </c>
      <c r="W56" s="634">
        <v>0</v>
      </c>
      <c r="X56" s="425">
        <f t="shared" si="16"/>
        <v>0</v>
      </c>
      <c r="Y56" s="634">
        <v>0</v>
      </c>
      <c r="Z56" s="425">
        <f t="shared" si="17"/>
        <v>0</v>
      </c>
      <c r="AA56" s="355">
        <f t="shared" si="18"/>
        <v>0</v>
      </c>
      <c r="AB56" s="641">
        <f t="shared" si="19"/>
        <v>0</v>
      </c>
    </row>
    <row r="57" spans="13:28" x14ac:dyDescent="0.2">
      <c r="M57" s="637">
        <v>0</v>
      </c>
      <c r="N57" s="425">
        <f t="shared" si="11"/>
        <v>0</v>
      </c>
      <c r="O57" s="634">
        <v>12</v>
      </c>
      <c r="P57" s="425">
        <f t="shared" si="12"/>
        <v>7.1999999999999993</v>
      </c>
      <c r="Q57" s="634">
        <v>0</v>
      </c>
      <c r="R57" s="425">
        <f t="shared" si="13"/>
        <v>0</v>
      </c>
      <c r="S57" s="634">
        <v>40</v>
      </c>
      <c r="T57" s="425">
        <f t="shared" si="14"/>
        <v>48.6</v>
      </c>
      <c r="U57" s="634">
        <v>0</v>
      </c>
      <c r="V57" s="425">
        <f t="shared" si="15"/>
        <v>0</v>
      </c>
      <c r="W57" s="634">
        <v>4</v>
      </c>
      <c r="X57" s="425">
        <f t="shared" si="16"/>
        <v>8.8800000000000008</v>
      </c>
      <c r="Y57" s="634">
        <v>0</v>
      </c>
      <c r="Z57" s="425">
        <f t="shared" si="17"/>
        <v>0</v>
      </c>
      <c r="AA57" s="355">
        <f t="shared" si="18"/>
        <v>56</v>
      </c>
      <c r="AB57" s="641">
        <f t="shared" si="19"/>
        <v>64.679999999999993</v>
      </c>
    </row>
    <row r="58" spans="13:28" x14ac:dyDescent="0.2">
      <c r="M58" s="637">
        <v>0</v>
      </c>
      <c r="N58" s="425">
        <f t="shared" si="11"/>
        <v>0</v>
      </c>
      <c r="O58" s="634">
        <v>0</v>
      </c>
      <c r="P58" s="425">
        <f t="shared" si="12"/>
        <v>0</v>
      </c>
      <c r="Q58" s="634">
        <v>0</v>
      </c>
      <c r="R58" s="425">
        <f t="shared" si="13"/>
        <v>0</v>
      </c>
      <c r="S58" s="634">
        <v>0</v>
      </c>
      <c r="T58" s="425">
        <f t="shared" si="14"/>
        <v>0</v>
      </c>
      <c r="U58" s="634">
        <v>0</v>
      </c>
      <c r="V58" s="425">
        <f t="shared" si="15"/>
        <v>0</v>
      </c>
      <c r="W58" s="634">
        <v>5</v>
      </c>
      <c r="X58" s="425">
        <f t="shared" si="16"/>
        <v>11.100000000000001</v>
      </c>
      <c r="Y58" s="634">
        <v>0</v>
      </c>
      <c r="Z58" s="425">
        <f t="shared" si="17"/>
        <v>0</v>
      </c>
      <c r="AA58" s="355">
        <f t="shared" si="18"/>
        <v>5</v>
      </c>
      <c r="AB58" s="641">
        <f t="shared" si="19"/>
        <v>11.100000000000001</v>
      </c>
    </row>
    <row r="59" spans="13:28" x14ac:dyDescent="0.2">
      <c r="M59" s="637">
        <v>0</v>
      </c>
      <c r="N59" s="425">
        <f t="shared" si="11"/>
        <v>0</v>
      </c>
      <c r="O59" s="634">
        <v>23</v>
      </c>
      <c r="P59" s="425">
        <f t="shared" si="12"/>
        <v>13.799999999999999</v>
      </c>
      <c r="Q59" s="634">
        <v>15</v>
      </c>
      <c r="R59" s="425">
        <f t="shared" si="13"/>
        <v>24.524999999999999</v>
      </c>
      <c r="S59" s="634">
        <v>9</v>
      </c>
      <c r="T59" s="425">
        <f t="shared" si="14"/>
        <v>10.935</v>
      </c>
      <c r="U59" s="634">
        <v>26</v>
      </c>
      <c r="V59" s="425">
        <f t="shared" si="15"/>
        <v>42.51</v>
      </c>
      <c r="W59" s="634">
        <v>0</v>
      </c>
      <c r="X59" s="425">
        <f t="shared" si="16"/>
        <v>0</v>
      </c>
      <c r="Y59" s="634">
        <v>0</v>
      </c>
      <c r="Z59" s="425">
        <f t="shared" si="17"/>
        <v>0</v>
      </c>
      <c r="AA59" s="355">
        <f t="shared" si="18"/>
        <v>73</v>
      </c>
      <c r="AB59" s="641">
        <f t="shared" si="19"/>
        <v>91.77</v>
      </c>
    </row>
    <row r="60" spans="13:28" x14ac:dyDescent="0.2">
      <c r="M60" s="637">
        <v>0</v>
      </c>
      <c r="N60" s="425">
        <f t="shared" si="11"/>
        <v>0</v>
      </c>
      <c r="O60" s="634">
        <v>0</v>
      </c>
      <c r="P60" s="425">
        <f t="shared" si="12"/>
        <v>0</v>
      </c>
      <c r="Q60" s="634">
        <v>0</v>
      </c>
      <c r="R60" s="425">
        <f t="shared" si="13"/>
        <v>0</v>
      </c>
      <c r="S60" s="634">
        <v>0</v>
      </c>
      <c r="T60" s="425">
        <f t="shared" si="14"/>
        <v>0</v>
      </c>
      <c r="U60" s="634">
        <v>0</v>
      </c>
      <c r="V60" s="425">
        <f t="shared" si="15"/>
        <v>0</v>
      </c>
      <c r="W60" s="634">
        <v>17</v>
      </c>
      <c r="X60" s="425">
        <f t="shared" si="16"/>
        <v>37.74</v>
      </c>
      <c r="Y60" s="634">
        <v>0</v>
      </c>
      <c r="Z60" s="425">
        <f t="shared" si="17"/>
        <v>0</v>
      </c>
      <c r="AA60" s="355">
        <f t="shared" si="18"/>
        <v>17</v>
      </c>
      <c r="AB60" s="641">
        <f t="shared" si="19"/>
        <v>37.74</v>
      </c>
    </row>
    <row r="61" spans="13:28" x14ac:dyDescent="0.2">
      <c r="M61" s="637">
        <v>0</v>
      </c>
      <c r="N61" s="425">
        <f t="shared" si="11"/>
        <v>0</v>
      </c>
      <c r="O61" s="634">
        <v>6</v>
      </c>
      <c r="P61" s="425">
        <f t="shared" si="12"/>
        <v>3.5999999999999996</v>
      </c>
      <c r="Q61" s="634">
        <v>6</v>
      </c>
      <c r="R61" s="425">
        <f t="shared" si="13"/>
        <v>9.81</v>
      </c>
      <c r="S61" s="634">
        <v>3</v>
      </c>
      <c r="T61" s="425">
        <f t="shared" si="14"/>
        <v>3.6450000000000005</v>
      </c>
      <c r="U61" s="634">
        <v>11</v>
      </c>
      <c r="V61" s="425">
        <f t="shared" si="15"/>
        <v>17.984999999999999</v>
      </c>
      <c r="W61" s="634">
        <v>3</v>
      </c>
      <c r="X61" s="425">
        <f t="shared" si="16"/>
        <v>6.66</v>
      </c>
      <c r="Y61" s="634">
        <v>0</v>
      </c>
      <c r="Z61" s="425">
        <f t="shared" si="17"/>
        <v>0</v>
      </c>
      <c r="AA61" s="355">
        <f t="shared" si="18"/>
        <v>29</v>
      </c>
      <c r="AB61" s="641">
        <f t="shared" si="19"/>
        <v>41.7</v>
      </c>
    </row>
    <row r="62" spans="13:28" x14ac:dyDescent="0.2">
      <c r="M62" s="637">
        <v>0</v>
      </c>
      <c r="N62" s="425">
        <f t="shared" si="11"/>
        <v>0</v>
      </c>
      <c r="O62" s="634">
        <v>0</v>
      </c>
      <c r="P62" s="425">
        <f t="shared" si="12"/>
        <v>0</v>
      </c>
      <c r="Q62" s="634">
        <v>0</v>
      </c>
      <c r="R62" s="425">
        <f t="shared" si="13"/>
        <v>0</v>
      </c>
      <c r="S62" s="634">
        <v>0</v>
      </c>
      <c r="T62" s="425">
        <f t="shared" si="14"/>
        <v>0</v>
      </c>
      <c r="U62" s="634">
        <v>0</v>
      </c>
      <c r="V62" s="425">
        <f t="shared" si="15"/>
        <v>0</v>
      </c>
      <c r="W62" s="634">
        <v>0</v>
      </c>
      <c r="X62" s="425">
        <f t="shared" si="16"/>
        <v>0</v>
      </c>
      <c r="Y62" s="634">
        <v>0</v>
      </c>
      <c r="Z62" s="425">
        <f t="shared" si="17"/>
        <v>0</v>
      </c>
      <c r="AA62" s="355">
        <f t="shared" si="18"/>
        <v>0</v>
      </c>
      <c r="AB62" s="641">
        <f t="shared" si="19"/>
        <v>0</v>
      </c>
    </row>
    <row r="63" spans="13:28" x14ac:dyDescent="0.2">
      <c r="M63" s="638">
        <f>SUM(M39:M62)</f>
        <v>0</v>
      </c>
      <c r="N63" s="632">
        <f>SUM(N39:N62)</f>
        <v>0</v>
      </c>
      <c r="O63" s="638">
        <f>SUM(O39:O62)</f>
        <v>341</v>
      </c>
      <c r="P63" s="632">
        <f>SUM(P39:P62)</f>
        <v>204.6</v>
      </c>
      <c r="Q63" s="640">
        <f>SUM(Q39:Q62)</f>
        <v>52</v>
      </c>
      <c r="R63" s="425">
        <f t="shared" si="13"/>
        <v>85.02</v>
      </c>
      <c r="S63" s="640">
        <f>SUM(S39:S62)</f>
        <v>250</v>
      </c>
      <c r="T63" s="425">
        <f>SUM(T39:T62)</f>
        <v>303.75</v>
      </c>
      <c r="U63" s="640">
        <f>SUM(U39:U62)</f>
        <v>437</v>
      </c>
      <c r="V63" s="632">
        <f>SUM(V39:V62)</f>
        <v>714.495</v>
      </c>
      <c r="W63" s="640">
        <f>SUM(W39:W62)</f>
        <v>117</v>
      </c>
      <c r="X63" s="425">
        <f t="shared" si="16"/>
        <v>259.74</v>
      </c>
      <c r="Y63" s="640">
        <f>SUM(Y39:Y62)</f>
        <v>6</v>
      </c>
      <c r="Z63" s="632">
        <f>SUM(Z39:Z62)</f>
        <v>19.847999999999999</v>
      </c>
      <c r="AA63" s="633">
        <f>SUM(AA39:AA62)</f>
        <v>1203</v>
      </c>
      <c r="AB63" s="641">
        <f t="shared" si="19"/>
        <v>1587.453</v>
      </c>
    </row>
  </sheetData>
  <mergeCells count="21">
    <mergeCell ref="I1:J1"/>
    <mergeCell ref="G9:H9"/>
    <mergeCell ref="I9:J9"/>
    <mergeCell ref="D1:E1"/>
    <mergeCell ref="A9:A10"/>
    <mergeCell ref="B9:B10"/>
    <mergeCell ref="A2:J2"/>
    <mergeCell ref="H44:I44"/>
    <mergeCell ref="A5:K5"/>
    <mergeCell ref="K9:K10"/>
    <mergeCell ref="I41:J41"/>
    <mergeCell ref="A42:J42"/>
    <mergeCell ref="A45:J45"/>
    <mergeCell ref="E9:F9"/>
    <mergeCell ref="C9:D9"/>
    <mergeCell ref="A36:B36"/>
    <mergeCell ref="C8:J8"/>
    <mergeCell ref="E7:H7"/>
    <mergeCell ref="A3:J3"/>
    <mergeCell ref="I7:K7"/>
    <mergeCell ref="A43:J4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A15" zoomScaleNormal="100" zoomScaleSheetLayoutView="100" workbookViewId="0">
      <selection activeCell="E41" sqref="E41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792"/>
      <c r="E1" s="792"/>
      <c r="H1" s="39"/>
      <c r="J1" s="871" t="s">
        <v>65</v>
      </c>
      <c r="K1" s="871"/>
    </row>
    <row r="2" spans="1:19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9" ht="18" x14ac:dyDescent="0.25">
      <c r="A3" s="899" t="s">
        <v>694</v>
      </c>
      <c r="B3" s="899"/>
      <c r="C3" s="899"/>
      <c r="D3" s="899"/>
      <c r="E3" s="899"/>
      <c r="F3" s="899"/>
      <c r="G3" s="899"/>
      <c r="H3" s="899"/>
      <c r="I3" s="899"/>
      <c r="J3" s="899"/>
    </row>
    <row r="4" spans="1:19" ht="10.5" customHeight="1" x14ac:dyDescent="0.2"/>
    <row r="5" spans="1:19" s="15" customFormat="1" ht="15.75" customHeight="1" x14ac:dyDescent="0.2">
      <c r="A5" s="984" t="s">
        <v>430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</row>
    <row r="6" spans="1:19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 x14ac:dyDescent="0.2">
      <c r="A7" s="191" t="s">
        <v>1098</v>
      </c>
      <c r="B7" s="191"/>
      <c r="I7" s="927" t="s">
        <v>774</v>
      </c>
      <c r="J7" s="927"/>
      <c r="K7" s="927"/>
    </row>
    <row r="8" spans="1:19" s="13" customFormat="1" ht="15.75" x14ac:dyDescent="0.25">
      <c r="C8" s="878" t="s">
        <v>12</v>
      </c>
      <c r="D8" s="878"/>
      <c r="E8" s="878"/>
      <c r="F8" s="878"/>
      <c r="G8" s="878"/>
      <c r="H8" s="878"/>
      <c r="I8" s="878"/>
      <c r="J8" s="878"/>
    </row>
    <row r="9" spans="1:19" ht="30" customHeight="1" x14ac:dyDescent="0.2">
      <c r="A9" s="727" t="s">
        <v>19</v>
      </c>
      <c r="B9" s="727" t="s">
        <v>33</v>
      </c>
      <c r="C9" s="770" t="s">
        <v>760</v>
      </c>
      <c r="D9" s="772"/>
      <c r="E9" s="770" t="s">
        <v>469</v>
      </c>
      <c r="F9" s="772"/>
      <c r="G9" s="770" t="s">
        <v>35</v>
      </c>
      <c r="H9" s="772"/>
      <c r="I9" s="775" t="s">
        <v>100</v>
      </c>
      <c r="J9" s="775"/>
      <c r="K9" s="727" t="s">
        <v>507</v>
      </c>
      <c r="R9" s="9"/>
      <c r="S9" s="12"/>
    </row>
    <row r="10" spans="1:19" s="14" customFormat="1" ht="46.5" customHeight="1" x14ac:dyDescent="0.2">
      <c r="A10" s="728"/>
      <c r="B10" s="728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1104</v>
      </c>
      <c r="K10" s="728"/>
    </row>
    <row r="11" spans="1:19" s="15" customFormat="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9" x14ac:dyDescent="0.2">
      <c r="A12" s="8">
        <v>1</v>
      </c>
      <c r="B12" s="351" t="s">
        <v>875</v>
      </c>
      <c r="C12" s="352">
        <v>2532</v>
      </c>
      <c r="D12" s="353">
        <f>C12*5000/100000</f>
        <v>126.6</v>
      </c>
      <c r="E12" s="352">
        <v>2532</v>
      </c>
      <c r="F12" s="353">
        <f>E12*5000/100000</f>
        <v>126.6</v>
      </c>
      <c r="G12" s="352">
        <v>0</v>
      </c>
      <c r="H12" s="353">
        <v>0</v>
      </c>
      <c r="I12" s="352">
        <v>0</v>
      </c>
      <c r="J12" s="353">
        <v>0</v>
      </c>
      <c r="K12" s="354">
        <v>0</v>
      </c>
    </row>
    <row r="13" spans="1:19" x14ac:dyDescent="0.2">
      <c r="A13" s="8">
        <v>2</v>
      </c>
      <c r="B13" s="351" t="s">
        <v>876</v>
      </c>
      <c r="C13" s="352">
        <v>413</v>
      </c>
      <c r="D13" s="353">
        <f t="shared" ref="D13:D35" si="0">C13*5000/100000</f>
        <v>20.65</v>
      </c>
      <c r="E13" s="352">
        <v>413</v>
      </c>
      <c r="F13" s="353">
        <f t="shared" ref="F13:F35" si="1">E13*5000/100000</f>
        <v>20.65</v>
      </c>
      <c r="G13" s="352">
        <v>0</v>
      </c>
      <c r="H13" s="353">
        <v>0</v>
      </c>
      <c r="I13" s="352">
        <v>0</v>
      </c>
      <c r="J13" s="353">
        <v>0</v>
      </c>
      <c r="K13" s="354">
        <v>0</v>
      </c>
    </row>
    <row r="14" spans="1:19" x14ac:dyDescent="0.2">
      <c r="A14" s="8">
        <v>3</v>
      </c>
      <c r="B14" s="351" t="s">
        <v>877</v>
      </c>
      <c r="C14" s="352">
        <v>748</v>
      </c>
      <c r="D14" s="353">
        <f t="shared" si="0"/>
        <v>37.4</v>
      </c>
      <c r="E14" s="352">
        <v>748</v>
      </c>
      <c r="F14" s="353">
        <f t="shared" si="1"/>
        <v>37.4</v>
      </c>
      <c r="G14" s="352">
        <v>0</v>
      </c>
      <c r="H14" s="353">
        <v>0</v>
      </c>
      <c r="I14" s="352">
        <v>0</v>
      </c>
      <c r="J14" s="353">
        <v>0</v>
      </c>
      <c r="K14" s="354">
        <v>0</v>
      </c>
    </row>
    <row r="15" spans="1:19" x14ac:dyDescent="0.2">
      <c r="A15" s="8">
        <v>4</v>
      </c>
      <c r="B15" s="351" t="s">
        <v>878</v>
      </c>
      <c r="C15" s="352">
        <v>1073</v>
      </c>
      <c r="D15" s="353">
        <f t="shared" si="0"/>
        <v>53.65</v>
      </c>
      <c r="E15" s="352">
        <v>1073</v>
      </c>
      <c r="F15" s="353">
        <f t="shared" si="1"/>
        <v>53.65</v>
      </c>
      <c r="G15" s="352">
        <v>0</v>
      </c>
      <c r="H15" s="353">
        <v>0</v>
      </c>
      <c r="I15" s="352">
        <v>0</v>
      </c>
      <c r="J15" s="353">
        <v>0</v>
      </c>
      <c r="K15" s="354">
        <v>0</v>
      </c>
    </row>
    <row r="16" spans="1:19" x14ac:dyDescent="0.2">
      <c r="A16" s="8">
        <v>5</v>
      </c>
      <c r="B16" s="351" t="s">
        <v>879</v>
      </c>
      <c r="C16" s="352">
        <v>1111</v>
      </c>
      <c r="D16" s="353">
        <f t="shared" si="0"/>
        <v>55.55</v>
      </c>
      <c r="E16" s="352">
        <v>1111</v>
      </c>
      <c r="F16" s="353">
        <f t="shared" si="1"/>
        <v>55.55</v>
      </c>
      <c r="G16" s="352">
        <v>0</v>
      </c>
      <c r="H16" s="353">
        <v>0</v>
      </c>
      <c r="I16" s="352">
        <v>0</v>
      </c>
      <c r="J16" s="353">
        <v>0</v>
      </c>
      <c r="K16" s="354">
        <v>0</v>
      </c>
    </row>
    <row r="17" spans="1:11" x14ac:dyDescent="0.2">
      <c r="A17" s="8">
        <v>6</v>
      </c>
      <c r="B17" s="351" t="s">
        <v>880</v>
      </c>
      <c r="C17" s="352">
        <v>1288</v>
      </c>
      <c r="D17" s="353">
        <f t="shared" si="0"/>
        <v>64.400000000000006</v>
      </c>
      <c r="E17" s="352">
        <v>1288</v>
      </c>
      <c r="F17" s="353">
        <f t="shared" si="1"/>
        <v>64.400000000000006</v>
      </c>
      <c r="G17" s="352">
        <v>0</v>
      </c>
      <c r="H17" s="353">
        <v>0</v>
      </c>
      <c r="I17" s="352">
        <v>0</v>
      </c>
      <c r="J17" s="353">
        <v>0</v>
      </c>
      <c r="K17" s="354">
        <v>0</v>
      </c>
    </row>
    <row r="18" spans="1:11" x14ac:dyDescent="0.2">
      <c r="A18" s="8">
        <v>7</v>
      </c>
      <c r="B18" s="351" t="s">
        <v>923</v>
      </c>
      <c r="C18" s="352">
        <v>1194</v>
      </c>
      <c r="D18" s="353">
        <f t="shared" si="0"/>
        <v>59.7</v>
      </c>
      <c r="E18" s="352">
        <v>1194</v>
      </c>
      <c r="F18" s="353">
        <f t="shared" si="1"/>
        <v>59.7</v>
      </c>
      <c r="G18" s="352">
        <v>0</v>
      </c>
      <c r="H18" s="353">
        <v>0</v>
      </c>
      <c r="I18" s="352">
        <v>0</v>
      </c>
      <c r="J18" s="353">
        <v>0</v>
      </c>
      <c r="K18" s="354">
        <v>0</v>
      </c>
    </row>
    <row r="19" spans="1:11" x14ac:dyDescent="0.2">
      <c r="A19" s="8">
        <v>8</v>
      </c>
      <c r="B19" s="351" t="s">
        <v>882</v>
      </c>
      <c r="C19" s="352">
        <v>2581</v>
      </c>
      <c r="D19" s="353">
        <f t="shared" si="0"/>
        <v>129.05000000000001</v>
      </c>
      <c r="E19" s="352">
        <v>2581</v>
      </c>
      <c r="F19" s="353">
        <f t="shared" si="1"/>
        <v>129.05000000000001</v>
      </c>
      <c r="G19" s="352">
        <v>0</v>
      </c>
      <c r="H19" s="353">
        <v>0</v>
      </c>
      <c r="I19" s="352">
        <v>0</v>
      </c>
      <c r="J19" s="353">
        <v>0</v>
      </c>
      <c r="K19" s="354">
        <v>0</v>
      </c>
    </row>
    <row r="20" spans="1:11" x14ac:dyDescent="0.2">
      <c r="A20" s="8">
        <v>9</v>
      </c>
      <c r="B20" s="351" t="s">
        <v>883</v>
      </c>
      <c r="C20" s="352">
        <v>2304</v>
      </c>
      <c r="D20" s="353">
        <f t="shared" si="0"/>
        <v>115.2</v>
      </c>
      <c r="E20" s="352">
        <v>2304</v>
      </c>
      <c r="F20" s="353">
        <f t="shared" si="1"/>
        <v>115.2</v>
      </c>
      <c r="G20" s="352">
        <v>0</v>
      </c>
      <c r="H20" s="353">
        <v>0</v>
      </c>
      <c r="I20" s="352">
        <v>0</v>
      </c>
      <c r="J20" s="353">
        <v>0</v>
      </c>
      <c r="K20" s="354">
        <v>0</v>
      </c>
    </row>
    <row r="21" spans="1:11" x14ac:dyDescent="0.2">
      <c r="A21" s="8">
        <v>10</v>
      </c>
      <c r="B21" s="351" t="s">
        <v>884</v>
      </c>
      <c r="C21" s="352">
        <v>1320</v>
      </c>
      <c r="D21" s="353">
        <f t="shared" si="0"/>
        <v>66</v>
      </c>
      <c r="E21" s="352">
        <v>1320</v>
      </c>
      <c r="F21" s="353">
        <f t="shared" si="1"/>
        <v>66</v>
      </c>
      <c r="G21" s="352">
        <v>0</v>
      </c>
      <c r="H21" s="353">
        <v>0</v>
      </c>
      <c r="I21" s="352">
        <v>0</v>
      </c>
      <c r="J21" s="353">
        <v>0</v>
      </c>
      <c r="K21" s="354">
        <v>0</v>
      </c>
    </row>
    <row r="22" spans="1:11" x14ac:dyDescent="0.2">
      <c r="A22" s="8">
        <v>11</v>
      </c>
      <c r="B22" s="351" t="s">
        <v>885</v>
      </c>
      <c r="C22" s="352">
        <v>1258</v>
      </c>
      <c r="D22" s="353">
        <f t="shared" si="0"/>
        <v>62.9</v>
      </c>
      <c r="E22" s="352">
        <v>1258</v>
      </c>
      <c r="F22" s="353">
        <f t="shared" si="1"/>
        <v>62.9</v>
      </c>
      <c r="G22" s="352">
        <v>0</v>
      </c>
      <c r="H22" s="353">
        <v>0</v>
      </c>
      <c r="I22" s="352">
        <v>0</v>
      </c>
      <c r="J22" s="353">
        <v>0</v>
      </c>
      <c r="K22" s="354">
        <v>0</v>
      </c>
    </row>
    <row r="23" spans="1:11" x14ac:dyDescent="0.2">
      <c r="A23" s="8">
        <v>12</v>
      </c>
      <c r="B23" s="351" t="s">
        <v>886</v>
      </c>
      <c r="C23" s="352">
        <v>1381</v>
      </c>
      <c r="D23" s="353">
        <f t="shared" si="0"/>
        <v>69.05</v>
      </c>
      <c r="E23" s="352">
        <v>1381</v>
      </c>
      <c r="F23" s="353">
        <f t="shared" si="1"/>
        <v>69.05</v>
      </c>
      <c r="G23" s="352">
        <v>0</v>
      </c>
      <c r="H23" s="353">
        <v>0</v>
      </c>
      <c r="I23" s="352">
        <v>0</v>
      </c>
      <c r="J23" s="353">
        <v>0</v>
      </c>
      <c r="K23" s="354">
        <v>0</v>
      </c>
    </row>
    <row r="24" spans="1:11" x14ac:dyDescent="0.2">
      <c r="A24" s="8">
        <v>13</v>
      </c>
      <c r="B24" s="351" t="s">
        <v>887</v>
      </c>
      <c r="C24" s="352">
        <v>658</v>
      </c>
      <c r="D24" s="353">
        <f t="shared" si="0"/>
        <v>32.9</v>
      </c>
      <c r="E24" s="352">
        <v>658</v>
      </c>
      <c r="F24" s="353">
        <f t="shared" si="1"/>
        <v>32.9</v>
      </c>
      <c r="G24" s="352">
        <v>0</v>
      </c>
      <c r="H24" s="353">
        <v>0</v>
      </c>
      <c r="I24" s="352">
        <v>0</v>
      </c>
      <c r="J24" s="353">
        <v>0</v>
      </c>
      <c r="K24" s="354">
        <v>0</v>
      </c>
    </row>
    <row r="25" spans="1:11" x14ac:dyDescent="0.2">
      <c r="A25" s="8">
        <v>14</v>
      </c>
      <c r="B25" s="351" t="s">
        <v>888</v>
      </c>
      <c r="C25" s="352">
        <v>1114</v>
      </c>
      <c r="D25" s="353">
        <f t="shared" si="0"/>
        <v>55.7</v>
      </c>
      <c r="E25" s="352">
        <v>1114</v>
      </c>
      <c r="F25" s="353">
        <f t="shared" si="1"/>
        <v>55.7</v>
      </c>
      <c r="G25" s="352">
        <v>0</v>
      </c>
      <c r="H25" s="353">
        <v>0</v>
      </c>
      <c r="I25" s="352">
        <v>0</v>
      </c>
      <c r="J25" s="353">
        <v>0</v>
      </c>
      <c r="K25" s="354">
        <v>0</v>
      </c>
    </row>
    <row r="26" spans="1:11" x14ac:dyDescent="0.2">
      <c r="A26" s="8">
        <v>15</v>
      </c>
      <c r="B26" s="351" t="s">
        <v>924</v>
      </c>
      <c r="C26" s="352">
        <v>2204</v>
      </c>
      <c r="D26" s="353">
        <f t="shared" si="0"/>
        <v>110.2</v>
      </c>
      <c r="E26" s="352">
        <v>2196</v>
      </c>
      <c r="F26" s="353">
        <f t="shared" si="1"/>
        <v>109.8</v>
      </c>
      <c r="G26" s="352">
        <v>0</v>
      </c>
      <c r="H26" s="353">
        <v>0</v>
      </c>
      <c r="I26" s="352">
        <v>8</v>
      </c>
      <c r="J26" s="353">
        <v>0.4</v>
      </c>
      <c r="K26" s="354">
        <v>0</v>
      </c>
    </row>
    <row r="27" spans="1:11" x14ac:dyDescent="0.2">
      <c r="A27" s="8">
        <v>16</v>
      </c>
      <c r="B27" s="351" t="s">
        <v>890</v>
      </c>
      <c r="C27" s="352">
        <v>2641</v>
      </c>
      <c r="D27" s="353">
        <f t="shared" si="0"/>
        <v>132.05000000000001</v>
      </c>
      <c r="E27" s="352">
        <v>2641</v>
      </c>
      <c r="F27" s="353">
        <f t="shared" si="1"/>
        <v>132.05000000000001</v>
      </c>
      <c r="G27" s="352">
        <v>0</v>
      </c>
      <c r="H27" s="353">
        <v>0</v>
      </c>
      <c r="I27" s="352">
        <v>0</v>
      </c>
      <c r="J27" s="353">
        <v>0</v>
      </c>
      <c r="K27" s="354">
        <v>0</v>
      </c>
    </row>
    <row r="28" spans="1:11" x14ac:dyDescent="0.2">
      <c r="A28" s="8">
        <v>17</v>
      </c>
      <c r="B28" s="351" t="s">
        <v>891</v>
      </c>
      <c r="C28" s="352">
        <v>1770</v>
      </c>
      <c r="D28" s="353">
        <f t="shared" si="0"/>
        <v>88.5</v>
      </c>
      <c r="E28" s="352">
        <v>1770</v>
      </c>
      <c r="F28" s="353">
        <f t="shared" si="1"/>
        <v>88.5</v>
      </c>
      <c r="G28" s="352">
        <v>0</v>
      </c>
      <c r="H28" s="353">
        <v>0</v>
      </c>
      <c r="I28" s="352">
        <v>0</v>
      </c>
      <c r="J28" s="353">
        <v>0</v>
      </c>
      <c r="K28" s="354">
        <v>0</v>
      </c>
    </row>
    <row r="29" spans="1:11" x14ac:dyDescent="0.2">
      <c r="A29" s="8">
        <v>18</v>
      </c>
      <c r="B29" s="351" t="s">
        <v>892</v>
      </c>
      <c r="C29" s="352">
        <v>2084</v>
      </c>
      <c r="D29" s="353">
        <f t="shared" si="0"/>
        <v>104.2</v>
      </c>
      <c r="E29" s="352">
        <v>2084</v>
      </c>
      <c r="F29" s="353">
        <f t="shared" si="1"/>
        <v>104.2</v>
      </c>
      <c r="G29" s="352">
        <v>0</v>
      </c>
      <c r="H29" s="353">
        <v>0</v>
      </c>
      <c r="I29" s="352">
        <v>0</v>
      </c>
      <c r="J29" s="353">
        <v>0</v>
      </c>
      <c r="K29" s="354">
        <v>0</v>
      </c>
    </row>
    <row r="30" spans="1:11" x14ac:dyDescent="0.2">
      <c r="A30" s="8">
        <v>19</v>
      </c>
      <c r="B30" s="351" t="s">
        <v>893</v>
      </c>
      <c r="C30" s="352">
        <v>1567</v>
      </c>
      <c r="D30" s="353">
        <f t="shared" si="0"/>
        <v>78.349999999999994</v>
      </c>
      <c r="E30" s="352">
        <v>1567</v>
      </c>
      <c r="F30" s="353">
        <f t="shared" si="1"/>
        <v>78.349999999999994</v>
      </c>
      <c r="G30" s="352">
        <v>0</v>
      </c>
      <c r="H30" s="353">
        <v>0</v>
      </c>
      <c r="I30" s="352">
        <v>0</v>
      </c>
      <c r="J30" s="353">
        <v>0</v>
      </c>
      <c r="K30" s="354">
        <v>0</v>
      </c>
    </row>
    <row r="31" spans="1:11" x14ac:dyDescent="0.2">
      <c r="A31" s="8">
        <v>20</v>
      </c>
      <c r="B31" s="351" t="s">
        <v>894</v>
      </c>
      <c r="C31" s="352">
        <v>1489</v>
      </c>
      <c r="D31" s="353">
        <f t="shared" si="0"/>
        <v>74.45</v>
      </c>
      <c r="E31" s="352">
        <v>1489</v>
      </c>
      <c r="F31" s="353">
        <f t="shared" si="1"/>
        <v>74.45</v>
      </c>
      <c r="G31" s="352">
        <v>0</v>
      </c>
      <c r="H31" s="353">
        <v>0</v>
      </c>
      <c r="I31" s="352">
        <v>0</v>
      </c>
      <c r="J31" s="353">
        <v>0</v>
      </c>
      <c r="K31" s="354">
        <v>0</v>
      </c>
    </row>
    <row r="32" spans="1:11" x14ac:dyDescent="0.2">
      <c r="A32" s="8">
        <v>21</v>
      </c>
      <c r="B32" s="351" t="s">
        <v>925</v>
      </c>
      <c r="C32" s="352">
        <v>1856</v>
      </c>
      <c r="D32" s="353">
        <f t="shared" si="0"/>
        <v>92.8</v>
      </c>
      <c r="E32" s="352">
        <v>1856</v>
      </c>
      <c r="F32" s="353">
        <f t="shared" si="1"/>
        <v>92.8</v>
      </c>
      <c r="G32" s="352">
        <v>0</v>
      </c>
      <c r="H32" s="353">
        <v>0</v>
      </c>
      <c r="I32" s="352">
        <v>0</v>
      </c>
      <c r="J32" s="353">
        <v>0</v>
      </c>
      <c r="K32" s="354">
        <v>0</v>
      </c>
    </row>
    <row r="33" spans="1:16" x14ac:dyDescent="0.2">
      <c r="A33" s="8">
        <v>22</v>
      </c>
      <c r="B33" s="351" t="s">
        <v>896</v>
      </c>
      <c r="C33" s="352">
        <v>1352</v>
      </c>
      <c r="D33" s="353">
        <f t="shared" si="0"/>
        <v>67.599999999999994</v>
      </c>
      <c r="E33" s="352">
        <v>1352</v>
      </c>
      <c r="F33" s="353">
        <f t="shared" si="1"/>
        <v>67.599999999999994</v>
      </c>
      <c r="G33" s="352">
        <v>0</v>
      </c>
      <c r="H33" s="353">
        <v>0</v>
      </c>
      <c r="I33" s="352">
        <v>0</v>
      </c>
      <c r="J33" s="353">
        <v>0</v>
      </c>
      <c r="K33" s="354">
        <v>0</v>
      </c>
    </row>
    <row r="34" spans="1:16" x14ac:dyDescent="0.2">
      <c r="A34" s="8">
        <v>23</v>
      </c>
      <c r="B34" s="351" t="s">
        <v>926</v>
      </c>
      <c r="C34" s="352">
        <v>1418</v>
      </c>
      <c r="D34" s="353">
        <f t="shared" si="0"/>
        <v>70.900000000000006</v>
      </c>
      <c r="E34" s="352">
        <v>1418</v>
      </c>
      <c r="F34" s="353">
        <f t="shared" si="1"/>
        <v>70.900000000000006</v>
      </c>
      <c r="G34" s="352">
        <v>0</v>
      </c>
      <c r="H34" s="353">
        <v>0</v>
      </c>
      <c r="I34" s="352">
        <v>0</v>
      </c>
      <c r="J34" s="353">
        <v>0</v>
      </c>
      <c r="K34" s="354">
        <v>0</v>
      </c>
    </row>
    <row r="35" spans="1:16" s="12" customFormat="1" x14ac:dyDescent="0.2">
      <c r="A35" s="8">
        <v>24</v>
      </c>
      <c r="B35" s="351" t="s">
        <v>898</v>
      </c>
      <c r="C35" s="352">
        <v>1776</v>
      </c>
      <c r="D35" s="353">
        <f t="shared" si="0"/>
        <v>88.8</v>
      </c>
      <c r="E35" s="352">
        <v>1776</v>
      </c>
      <c r="F35" s="353">
        <f t="shared" si="1"/>
        <v>88.8</v>
      </c>
      <c r="G35" s="352">
        <v>0</v>
      </c>
      <c r="H35" s="353">
        <v>0</v>
      </c>
      <c r="I35" s="352">
        <v>0</v>
      </c>
      <c r="J35" s="353">
        <v>0</v>
      </c>
      <c r="K35" s="354">
        <v>0</v>
      </c>
    </row>
    <row r="36" spans="1:16" s="29" customFormat="1" x14ac:dyDescent="0.2">
      <c r="A36" s="733" t="s">
        <v>15</v>
      </c>
      <c r="B36" s="735"/>
      <c r="C36" s="350">
        <f t="shared" ref="C36:K36" si="2">SUM(C12:C35)</f>
        <v>37132</v>
      </c>
      <c r="D36" s="349">
        <f t="shared" si="2"/>
        <v>1856.6</v>
      </c>
      <c r="E36" s="350">
        <f t="shared" si="2"/>
        <v>37124</v>
      </c>
      <c r="F36" s="349">
        <f t="shared" si="2"/>
        <v>1856.1999999999998</v>
      </c>
      <c r="G36" s="350">
        <f t="shared" si="2"/>
        <v>0</v>
      </c>
      <c r="H36" s="349">
        <f t="shared" si="2"/>
        <v>0</v>
      </c>
      <c r="I36" s="350">
        <f t="shared" si="2"/>
        <v>8</v>
      </c>
      <c r="J36" s="349">
        <f t="shared" si="2"/>
        <v>0.4</v>
      </c>
      <c r="K36" s="28">
        <f t="shared" si="2"/>
        <v>0</v>
      </c>
    </row>
    <row r="37" spans="1:16" s="12" customFormat="1" x14ac:dyDescent="0.2"/>
    <row r="38" spans="1:16" s="12" customFormat="1" x14ac:dyDescent="0.2">
      <c r="A38" s="10" t="s">
        <v>37</v>
      </c>
    </row>
    <row r="39" spans="1:16" s="12" customFormat="1" x14ac:dyDescent="0.2">
      <c r="A39" s="10"/>
      <c r="B39" s="20" t="s">
        <v>1120</v>
      </c>
      <c r="C39" s="722">
        <f>'AT12A_KD-Replacement'!C36</f>
        <v>15849</v>
      </c>
      <c r="D39" s="722">
        <f>'AT12A_KD-Replacement'!D36</f>
        <v>792.45000000000027</v>
      </c>
      <c r="E39" s="722">
        <f>'AT12A_KD-Replacement'!E36</f>
        <v>15849</v>
      </c>
      <c r="F39" s="722">
        <f>'AT12A_KD-Replacement'!F36</f>
        <v>792.45000000000027</v>
      </c>
    </row>
    <row r="40" spans="1:16" s="12" customFormat="1" x14ac:dyDescent="0.2">
      <c r="A40" s="10"/>
      <c r="C40" s="722">
        <f>C39+C36</f>
        <v>52981</v>
      </c>
      <c r="D40" s="722">
        <f>D39+D36</f>
        <v>2649.05</v>
      </c>
      <c r="E40" s="722">
        <f>E39+E36</f>
        <v>52973</v>
      </c>
      <c r="F40" s="722">
        <f>F39+F36</f>
        <v>2648.65</v>
      </c>
    </row>
    <row r="41" spans="1:16" s="12" customFormat="1" x14ac:dyDescent="0.2">
      <c r="A41" s="10"/>
    </row>
    <row r="42" spans="1:16" ht="15.75" customHeight="1" x14ac:dyDescent="0.2">
      <c r="A42" s="671"/>
      <c r="B42" s="667"/>
      <c r="C42" s="667"/>
      <c r="D42" s="667"/>
      <c r="E42" s="667"/>
      <c r="F42" s="667"/>
      <c r="G42" s="667"/>
      <c r="H42" s="667"/>
      <c r="I42" s="757" t="s">
        <v>1107</v>
      </c>
      <c r="J42" s="757"/>
    </row>
    <row r="43" spans="1:16" s="15" customFormat="1" ht="13.9" customHeight="1" x14ac:dyDescent="0.2">
      <c r="A43" s="758" t="s">
        <v>1108</v>
      </c>
      <c r="B43" s="758"/>
      <c r="C43" s="758"/>
      <c r="D43" s="758"/>
      <c r="E43" s="758"/>
      <c r="F43" s="758"/>
      <c r="G43" s="758"/>
      <c r="H43" s="758"/>
      <c r="I43" s="758"/>
      <c r="J43" s="758"/>
      <c r="K43" s="567"/>
      <c r="L43" s="76"/>
      <c r="M43" s="76"/>
      <c r="N43" s="76"/>
      <c r="O43" s="76"/>
      <c r="P43" s="76"/>
    </row>
    <row r="44" spans="1:16" s="15" customFormat="1" ht="13.15" customHeight="1" x14ac:dyDescent="0.2">
      <c r="A44" s="758" t="s">
        <v>1111</v>
      </c>
      <c r="B44" s="758"/>
      <c r="C44" s="758"/>
      <c r="D44" s="758"/>
      <c r="E44" s="758"/>
      <c r="F44" s="758"/>
      <c r="G44" s="758"/>
      <c r="H44" s="758"/>
      <c r="I44" s="758"/>
      <c r="J44" s="758"/>
      <c r="K44" s="567"/>
      <c r="L44" s="76"/>
      <c r="M44" s="76"/>
      <c r="N44" s="76"/>
      <c r="O44" s="76"/>
      <c r="P44" s="76"/>
    </row>
    <row r="45" spans="1:16" s="15" customFormat="1" ht="13.15" customHeight="1" x14ac:dyDescent="0.2">
      <c r="A45" s="670" t="s">
        <v>1114</v>
      </c>
      <c r="B45" s="670"/>
      <c r="C45" s="670"/>
      <c r="D45" s="670"/>
      <c r="E45" s="670"/>
      <c r="F45" s="670"/>
      <c r="G45" s="671"/>
      <c r="H45" s="931" t="s">
        <v>1116</v>
      </c>
      <c r="I45" s="931"/>
      <c r="J45" s="671"/>
      <c r="K45" s="567"/>
      <c r="L45" s="76"/>
      <c r="M45" s="76"/>
      <c r="N45" s="76"/>
      <c r="O45" s="76"/>
      <c r="P45" s="76"/>
    </row>
    <row r="46" spans="1:16" x14ac:dyDescent="0.2">
      <c r="A46" s="876"/>
      <c r="B46" s="876"/>
      <c r="C46" s="876"/>
      <c r="D46" s="876"/>
      <c r="E46" s="876"/>
      <c r="F46" s="876"/>
      <c r="G46" s="876"/>
      <c r="H46" s="876"/>
      <c r="I46" s="876"/>
      <c r="J46" s="876"/>
    </row>
  </sheetData>
  <mergeCells count="20">
    <mergeCell ref="I42:J42"/>
    <mergeCell ref="I7:K7"/>
    <mergeCell ref="G9:H9"/>
    <mergeCell ref="C8:J8"/>
    <mergeCell ref="K9:K10"/>
    <mergeCell ref="A5:L5"/>
    <mergeCell ref="B9:B10"/>
    <mergeCell ref="E9:F9"/>
    <mergeCell ref="A9:A10"/>
    <mergeCell ref="C9:D9"/>
    <mergeCell ref="A43:J43"/>
    <mergeCell ref="A44:J44"/>
    <mergeCell ref="A46:J46"/>
    <mergeCell ref="H45:I45"/>
    <mergeCell ref="A36:B36"/>
    <mergeCell ref="J1:K1"/>
    <mergeCell ref="I9:J9"/>
    <mergeCell ref="D1:E1"/>
    <mergeCell ref="A2:J2"/>
    <mergeCell ref="A3:J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view="pageBreakPreview" topLeftCell="A16" zoomScale="90" zoomScaleNormal="100" zoomScaleSheetLayoutView="90" workbookViewId="0">
      <selection activeCell="A42" sqref="A42:J45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792"/>
      <c r="E1" s="792"/>
      <c r="H1" s="39"/>
      <c r="J1" s="871" t="s">
        <v>470</v>
      </c>
      <c r="K1" s="871"/>
    </row>
    <row r="2" spans="1:19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9" ht="18" x14ac:dyDescent="0.25">
      <c r="A3" s="899" t="s">
        <v>694</v>
      </c>
      <c r="B3" s="899"/>
      <c r="C3" s="899"/>
      <c r="D3" s="899"/>
      <c r="E3" s="899"/>
      <c r="F3" s="899"/>
      <c r="G3" s="899"/>
      <c r="H3" s="899"/>
      <c r="I3" s="899"/>
      <c r="J3" s="899"/>
    </row>
    <row r="4" spans="1:19" ht="10.5" customHeight="1" x14ac:dyDescent="0.2"/>
    <row r="5" spans="1:19" s="15" customFormat="1" ht="15.75" customHeight="1" x14ac:dyDescent="0.2">
      <c r="A5" s="985" t="s">
        <v>480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</row>
    <row r="6" spans="1:19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 x14ac:dyDescent="0.2">
      <c r="A7" s="191" t="s">
        <v>1098</v>
      </c>
      <c r="B7" s="191"/>
      <c r="I7" s="927" t="s">
        <v>775</v>
      </c>
      <c r="J7" s="927"/>
      <c r="K7" s="927"/>
    </row>
    <row r="8" spans="1:19" s="13" customFormat="1" ht="15.75" x14ac:dyDescent="0.25">
      <c r="C8" s="878" t="s">
        <v>12</v>
      </c>
      <c r="D8" s="878"/>
      <c r="E8" s="878"/>
      <c r="F8" s="878"/>
      <c r="G8" s="878"/>
      <c r="H8" s="878"/>
      <c r="I8" s="878"/>
      <c r="J8" s="878"/>
    </row>
    <row r="9" spans="1:19" ht="31.5" customHeight="1" x14ac:dyDescent="0.2">
      <c r="A9" s="727" t="s">
        <v>19</v>
      </c>
      <c r="B9" s="727" t="s">
        <v>33</v>
      </c>
      <c r="C9" s="770" t="s">
        <v>761</v>
      </c>
      <c r="D9" s="772"/>
      <c r="E9" s="770" t="s">
        <v>469</v>
      </c>
      <c r="F9" s="772"/>
      <c r="G9" s="770" t="s">
        <v>35</v>
      </c>
      <c r="H9" s="772"/>
      <c r="I9" s="775" t="s">
        <v>100</v>
      </c>
      <c r="J9" s="775"/>
      <c r="K9" s="727" t="s">
        <v>507</v>
      </c>
      <c r="R9" s="9"/>
      <c r="S9" s="12"/>
    </row>
    <row r="10" spans="1:19" s="14" customFormat="1" ht="46.5" customHeight="1" x14ac:dyDescent="0.2">
      <c r="A10" s="728"/>
      <c r="B10" s="728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129</v>
      </c>
      <c r="J10" s="5" t="s">
        <v>130</v>
      </c>
      <c r="K10" s="728"/>
    </row>
    <row r="11" spans="1:19" x14ac:dyDescent="0.2">
      <c r="A11" s="245">
        <v>1</v>
      </c>
      <c r="B11" s="245">
        <v>2</v>
      </c>
      <c r="C11" s="245">
        <v>3</v>
      </c>
      <c r="D11" s="245">
        <v>4</v>
      </c>
      <c r="E11" s="245">
        <v>5</v>
      </c>
      <c r="F11" s="245">
        <v>6</v>
      </c>
      <c r="G11" s="245">
        <v>7</v>
      </c>
      <c r="H11" s="245">
        <v>8</v>
      </c>
      <c r="I11" s="245">
        <v>9</v>
      </c>
      <c r="J11" s="245">
        <v>10</v>
      </c>
      <c r="K11" s="245">
        <v>11</v>
      </c>
    </row>
    <row r="12" spans="1:19" x14ac:dyDescent="0.2">
      <c r="A12" s="8">
        <v>1</v>
      </c>
      <c r="B12" s="351" t="s">
        <v>875</v>
      </c>
      <c r="C12" s="348">
        <v>612</v>
      </c>
      <c r="D12" s="347">
        <f>C12*5000/100000</f>
        <v>30.6</v>
      </c>
      <c r="E12" s="348">
        <v>612</v>
      </c>
      <c r="F12" s="347">
        <f>E12*5000/100000</f>
        <v>30.6</v>
      </c>
      <c r="G12" s="348">
        <v>0</v>
      </c>
      <c r="H12" s="347">
        <v>0</v>
      </c>
      <c r="I12" s="348">
        <f>C12-E12</f>
        <v>0</v>
      </c>
      <c r="J12" s="347">
        <f>I12*5000/100000</f>
        <v>0</v>
      </c>
      <c r="K12" s="18">
        <v>0</v>
      </c>
      <c r="L12" s="355"/>
    </row>
    <row r="13" spans="1:19" x14ac:dyDescent="0.2">
      <c r="A13" s="8">
        <v>2</v>
      </c>
      <c r="B13" s="351" t="s">
        <v>876</v>
      </c>
      <c r="C13" s="348">
        <v>398</v>
      </c>
      <c r="D13" s="347">
        <f t="shared" ref="D13:D35" si="0">C13*5000/100000</f>
        <v>19.899999999999999</v>
      </c>
      <c r="E13" s="348">
        <v>398</v>
      </c>
      <c r="F13" s="347">
        <f t="shared" ref="F13:F35" si="1">E13*5000/100000</f>
        <v>19.899999999999999</v>
      </c>
      <c r="G13" s="348">
        <v>0</v>
      </c>
      <c r="H13" s="347">
        <v>0</v>
      </c>
      <c r="I13" s="348">
        <f t="shared" ref="I13:I35" si="2">C13-E13</f>
        <v>0</v>
      </c>
      <c r="J13" s="347">
        <f t="shared" ref="J13:J35" si="3">I13*5000/100000</f>
        <v>0</v>
      </c>
      <c r="K13" s="18">
        <v>0</v>
      </c>
      <c r="L13" s="355"/>
    </row>
    <row r="14" spans="1:19" x14ac:dyDescent="0.2">
      <c r="A14" s="8">
        <v>3</v>
      </c>
      <c r="B14" s="351" t="s">
        <v>877</v>
      </c>
      <c r="C14" s="348">
        <v>508</v>
      </c>
      <c r="D14" s="347">
        <f t="shared" si="0"/>
        <v>25.4</v>
      </c>
      <c r="E14" s="348">
        <v>508</v>
      </c>
      <c r="F14" s="347">
        <f t="shared" si="1"/>
        <v>25.4</v>
      </c>
      <c r="G14" s="348">
        <v>0</v>
      </c>
      <c r="H14" s="347">
        <v>0</v>
      </c>
      <c r="I14" s="348">
        <f t="shared" si="2"/>
        <v>0</v>
      </c>
      <c r="J14" s="347">
        <f t="shared" si="3"/>
        <v>0</v>
      </c>
      <c r="K14" s="18">
        <v>0</v>
      </c>
      <c r="L14" s="355"/>
    </row>
    <row r="15" spans="1:19" x14ac:dyDescent="0.2">
      <c r="A15" s="8">
        <v>4</v>
      </c>
      <c r="B15" s="351" t="s">
        <v>878</v>
      </c>
      <c r="C15" s="348">
        <v>479</v>
      </c>
      <c r="D15" s="347">
        <f t="shared" si="0"/>
        <v>23.95</v>
      </c>
      <c r="E15" s="348">
        <v>479</v>
      </c>
      <c r="F15" s="347">
        <f t="shared" si="1"/>
        <v>23.95</v>
      </c>
      <c r="G15" s="348">
        <v>0</v>
      </c>
      <c r="H15" s="347">
        <v>0</v>
      </c>
      <c r="I15" s="348">
        <f t="shared" si="2"/>
        <v>0</v>
      </c>
      <c r="J15" s="347">
        <f t="shared" si="3"/>
        <v>0</v>
      </c>
      <c r="K15" s="18">
        <v>0</v>
      </c>
      <c r="L15" s="355"/>
    </row>
    <row r="16" spans="1:19" x14ac:dyDescent="0.2">
      <c r="A16" s="8">
        <v>5</v>
      </c>
      <c r="B16" s="351" t="s">
        <v>879</v>
      </c>
      <c r="C16" s="348">
        <v>598</v>
      </c>
      <c r="D16" s="347">
        <f t="shared" si="0"/>
        <v>29.9</v>
      </c>
      <c r="E16" s="348">
        <v>598</v>
      </c>
      <c r="F16" s="347">
        <f t="shared" si="1"/>
        <v>29.9</v>
      </c>
      <c r="G16" s="348">
        <v>0</v>
      </c>
      <c r="H16" s="347">
        <v>0</v>
      </c>
      <c r="I16" s="348">
        <f t="shared" si="2"/>
        <v>0</v>
      </c>
      <c r="J16" s="347">
        <f t="shared" si="3"/>
        <v>0</v>
      </c>
      <c r="K16" s="18">
        <v>0</v>
      </c>
      <c r="L16" s="355"/>
    </row>
    <row r="17" spans="1:12" x14ac:dyDescent="0.2">
      <c r="A17" s="8">
        <v>6</v>
      </c>
      <c r="B17" s="351" t="s">
        <v>880</v>
      </c>
      <c r="C17" s="348">
        <v>734</v>
      </c>
      <c r="D17" s="347">
        <f t="shared" si="0"/>
        <v>36.700000000000003</v>
      </c>
      <c r="E17" s="348">
        <v>734</v>
      </c>
      <c r="F17" s="347">
        <f t="shared" si="1"/>
        <v>36.700000000000003</v>
      </c>
      <c r="G17" s="348">
        <v>0</v>
      </c>
      <c r="H17" s="347">
        <v>0</v>
      </c>
      <c r="I17" s="348">
        <f t="shared" si="2"/>
        <v>0</v>
      </c>
      <c r="J17" s="347">
        <f t="shared" si="3"/>
        <v>0</v>
      </c>
      <c r="K17" s="18">
        <v>0</v>
      </c>
      <c r="L17" s="355"/>
    </row>
    <row r="18" spans="1:12" x14ac:dyDescent="0.2">
      <c r="A18" s="8">
        <v>7</v>
      </c>
      <c r="B18" s="351" t="s">
        <v>923</v>
      </c>
      <c r="C18" s="348">
        <v>598</v>
      </c>
      <c r="D18" s="347">
        <f t="shared" si="0"/>
        <v>29.9</v>
      </c>
      <c r="E18" s="348">
        <v>598</v>
      </c>
      <c r="F18" s="347">
        <f t="shared" si="1"/>
        <v>29.9</v>
      </c>
      <c r="G18" s="348">
        <v>0</v>
      </c>
      <c r="H18" s="347">
        <v>0</v>
      </c>
      <c r="I18" s="348">
        <f t="shared" si="2"/>
        <v>0</v>
      </c>
      <c r="J18" s="347">
        <f t="shared" si="3"/>
        <v>0</v>
      </c>
      <c r="K18" s="18">
        <v>0</v>
      </c>
      <c r="L18" s="355"/>
    </row>
    <row r="19" spans="1:12" x14ac:dyDescent="0.2">
      <c r="A19" s="8">
        <v>8</v>
      </c>
      <c r="B19" s="351" t="s">
        <v>882</v>
      </c>
      <c r="C19" s="348">
        <v>801</v>
      </c>
      <c r="D19" s="347">
        <f t="shared" si="0"/>
        <v>40.049999999999997</v>
      </c>
      <c r="E19" s="348">
        <v>801</v>
      </c>
      <c r="F19" s="347">
        <f t="shared" si="1"/>
        <v>40.049999999999997</v>
      </c>
      <c r="G19" s="348">
        <v>0</v>
      </c>
      <c r="H19" s="347">
        <v>0</v>
      </c>
      <c r="I19" s="348">
        <f t="shared" si="2"/>
        <v>0</v>
      </c>
      <c r="J19" s="347">
        <f t="shared" si="3"/>
        <v>0</v>
      </c>
      <c r="K19" s="18">
        <v>0</v>
      </c>
      <c r="L19" s="355"/>
    </row>
    <row r="20" spans="1:12" x14ac:dyDescent="0.2">
      <c r="A20" s="8">
        <v>9</v>
      </c>
      <c r="B20" s="351" t="s">
        <v>883</v>
      </c>
      <c r="C20" s="348">
        <v>752</v>
      </c>
      <c r="D20" s="347">
        <f t="shared" si="0"/>
        <v>37.6</v>
      </c>
      <c r="E20" s="348">
        <v>752</v>
      </c>
      <c r="F20" s="347">
        <f t="shared" si="1"/>
        <v>37.6</v>
      </c>
      <c r="G20" s="348">
        <v>0</v>
      </c>
      <c r="H20" s="347">
        <v>0</v>
      </c>
      <c r="I20" s="348">
        <f t="shared" si="2"/>
        <v>0</v>
      </c>
      <c r="J20" s="347">
        <f t="shared" si="3"/>
        <v>0</v>
      </c>
      <c r="K20" s="18">
        <v>0</v>
      </c>
      <c r="L20" s="355"/>
    </row>
    <row r="21" spans="1:12" x14ac:dyDescent="0.2">
      <c r="A21" s="8">
        <v>10</v>
      </c>
      <c r="B21" s="351" t="s">
        <v>884</v>
      </c>
      <c r="C21" s="348">
        <v>632</v>
      </c>
      <c r="D21" s="347">
        <f t="shared" si="0"/>
        <v>31.6</v>
      </c>
      <c r="E21" s="348">
        <v>632</v>
      </c>
      <c r="F21" s="347">
        <f t="shared" si="1"/>
        <v>31.6</v>
      </c>
      <c r="G21" s="348">
        <v>0</v>
      </c>
      <c r="H21" s="347">
        <v>0</v>
      </c>
      <c r="I21" s="348">
        <f t="shared" si="2"/>
        <v>0</v>
      </c>
      <c r="J21" s="347">
        <f t="shared" si="3"/>
        <v>0</v>
      </c>
      <c r="K21" s="18">
        <v>0</v>
      </c>
      <c r="L21" s="355"/>
    </row>
    <row r="22" spans="1:12" x14ac:dyDescent="0.2">
      <c r="A22" s="8">
        <v>11</v>
      </c>
      <c r="B22" s="351" t="s">
        <v>885</v>
      </c>
      <c r="C22" s="348">
        <v>752</v>
      </c>
      <c r="D22" s="347">
        <f t="shared" si="0"/>
        <v>37.6</v>
      </c>
      <c r="E22" s="348">
        <v>752</v>
      </c>
      <c r="F22" s="347">
        <f t="shared" si="1"/>
        <v>37.6</v>
      </c>
      <c r="G22" s="348">
        <v>0</v>
      </c>
      <c r="H22" s="347">
        <v>0</v>
      </c>
      <c r="I22" s="348">
        <f t="shared" si="2"/>
        <v>0</v>
      </c>
      <c r="J22" s="347">
        <f t="shared" si="3"/>
        <v>0</v>
      </c>
      <c r="K22" s="18">
        <v>0</v>
      </c>
      <c r="L22" s="355"/>
    </row>
    <row r="23" spans="1:12" x14ac:dyDescent="0.2">
      <c r="A23" s="8">
        <v>12</v>
      </c>
      <c r="B23" s="351" t="s">
        <v>886</v>
      </c>
      <c r="C23" s="348">
        <v>672</v>
      </c>
      <c r="D23" s="347">
        <f t="shared" si="0"/>
        <v>33.6</v>
      </c>
      <c r="E23" s="348">
        <v>672</v>
      </c>
      <c r="F23" s="347">
        <f t="shared" si="1"/>
        <v>33.6</v>
      </c>
      <c r="G23" s="348">
        <v>0</v>
      </c>
      <c r="H23" s="347">
        <v>0</v>
      </c>
      <c r="I23" s="348">
        <f t="shared" si="2"/>
        <v>0</v>
      </c>
      <c r="J23" s="347">
        <f t="shared" si="3"/>
        <v>0</v>
      </c>
      <c r="K23" s="18">
        <v>0</v>
      </c>
      <c r="L23" s="355"/>
    </row>
    <row r="24" spans="1:12" x14ac:dyDescent="0.2">
      <c r="A24" s="8">
        <v>13</v>
      </c>
      <c r="B24" s="351" t="s">
        <v>887</v>
      </c>
      <c r="C24" s="348">
        <v>391</v>
      </c>
      <c r="D24" s="347">
        <f t="shared" si="0"/>
        <v>19.55</v>
      </c>
      <c r="E24" s="348">
        <v>391</v>
      </c>
      <c r="F24" s="347">
        <f t="shared" si="1"/>
        <v>19.55</v>
      </c>
      <c r="G24" s="348">
        <v>0</v>
      </c>
      <c r="H24" s="347">
        <v>0</v>
      </c>
      <c r="I24" s="348">
        <f t="shared" si="2"/>
        <v>0</v>
      </c>
      <c r="J24" s="347">
        <f t="shared" si="3"/>
        <v>0</v>
      </c>
      <c r="K24" s="18">
        <v>0</v>
      </c>
      <c r="L24" s="355"/>
    </row>
    <row r="25" spans="1:12" x14ac:dyDescent="0.2">
      <c r="A25" s="8">
        <v>14</v>
      </c>
      <c r="B25" s="351" t="s">
        <v>888</v>
      </c>
      <c r="C25" s="348">
        <v>602</v>
      </c>
      <c r="D25" s="347">
        <f t="shared" si="0"/>
        <v>30.1</v>
      </c>
      <c r="E25" s="348">
        <v>602</v>
      </c>
      <c r="F25" s="347">
        <f t="shared" si="1"/>
        <v>30.1</v>
      </c>
      <c r="G25" s="348">
        <v>0</v>
      </c>
      <c r="H25" s="347">
        <v>0</v>
      </c>
      <c r="I25" s="348">
        <f t="shared" si="2"/>
        <v>0</v>
      </c>
      <c r="J25" s="347">
        <f t="shared" si="3"/>
        <v>0</v>
      </c>
      <c r="K25" s="18">
        <v>0</v>
      </c>
      <c r="L25" s="355"/>
    </row>
    <row r="26" spans="1:12" x14ac:dyDescent="0.2">
      <c r="A26" s="8">
        <v>15</v>
      </c>
      <c r="B26" s="351" t="s">
        <v>924</v>
      </c>
      <c r="C26" s="348">
        <v>672</v>
      </c>
      <c r="D26" s="347">
        <f t="shared" si="0"/>
        <v>33.6</v>
      </c>
      <c r="E26" s="348">
        <v>672</v>
      </c>
      <c r="F26" s="347">
        <f t="shared" si="1"/>
        <v>33.6</v>
      </c>
      <c r="G26" s="348">
        <v>0</v>
      </c>
      <c r="H26" s="347">
        <v>0</v>
      </c>
      <c r="I26" s="348">
        <f t="shared" si="2"/>
        <v>0</v>
      </c>
      <c r="J26" s="347">
        <f t="shared" si="3"/>
        <v>0</v>
      </c>
      <c r="K26" s="18">
        <v>0</v>
      </c>
      <c r="L26" s="355"/>
    </row>
    <row r="27" spans="1:12" x14ac:dyDescent="0.2">
      <c r="A27" s="8">
        <v>16</v>
      </c>
      <c r="B27" s="351" t="s">
        <v>890</v>
      </c>
      <c r="C27" s="348">
        <v>782</v>
      </c>
      <c r="D27" s="347">
        <f t="shared" si="0"/>
        <v>39.1</v>
      </c>
      <c r="E27" s="348">
        <v>782</v>
      </c>
      <c r="F27" s="347">
        <f t="shared" si="1"/>
        <v>39.1</v>
      </c>
      <c r="G27" s="348">
        <v>0</v>
      </c>
      <c r="H27" s="347">
        <v>0</v>
      </c>
      <c r="I27" s="348">
        <f t="shared" si="2"/>
        <v>0</v>
      </c>
      <c r="J27" s="347">
        <f t="shared" si="3"/>
        <v>0</v>
      </c>
      <c r="K27" s="18">
        <v>0</v>
      </c>
      <c r="L27" s="355"/>
    </row>
    <row r="28" spans="1:12" x14ac:dyDescent="0.2">
      <c r="A28" s="8">
        <v>17</v>
      </c>
      <c r="B28" s="351" t="s">
        <v>891</v>
      </c>
      <c r="C28" s="348">
        <v>862</v>
      </c>
      <c r="D28" s="347">
        <f t="shared" si="0"/>
        <v>43.1</v>
      </c>
      <c r="E28" s="348">
        <v>862</v>
      </c>
      <c r="F28" s="347">
        <f t="shared" si="1"/>
        <v>43.1</v>
      </c>
      <c r="G28" s="348">
        <v>0</v>
      </c>
      <c r="H28" s="347">
        <v>0</v>
      </c>
      <c r="I28" s="348">
        <f t="shared" si="2"/>
        <v>0</v>
      </c>
      <c r="J28" s="347">
        <f t="shared" si="3"/>
        <v>0</v>
      </c>
      <c r="K28" s="18">
        <v>0</v>
      </c>
      <c r="L28" s="355"/>
    </row>
    <row r="29" spans="1:12" x14ac:dyDescent="0.2">
      <c r="A29" s="8">
        <v>18</v>
      </c>
      <c r="B29" s="351" t="s">
        <v>892</v>
      </c>
      <c r="C29" s="348">
        <v>752</v>
      </c>
      <c r="D29" s="347">
        <f t="shared" si="0"/>
        <v>37.6</v>
      </c>
      <c r="E29" s="348">
        <v>752</v>
      </c>
      <c r="F29" s="347">
        <f t="shared" si="1"/>
        <v>37.6</v>
      </c>
      <c r="G29" s="348">
        <v>0</v>
      </c>
      <c r="H29" s="347">
        <v>0</v>
      </c>
      <c r="I29" s="348">
        <f t="shared" si="2"/>
        <v>0</v>
      </c>
      <c r="J29" s="347">
        <f t="shared" si="3"/>
        <v>0</v>
      </c>
      <c r="K29" s="18">
        <v>0</v>
      </c>
      <c r="L29" s="355"/>
    </row>
    <row r="30" spans="1:12" x14ac:dyDescent="0.2">
      <c r="A30" s="8">
        <v>19</v>
      </c>
      <c r="B30" s="351" t="s">
        <v>893</v>
      </c>
      <c r="C30" s="348">
        <v>712</v>
      </c>
      <c r="D30" s="347">
        <f t="shared" si="0"/>
        <v>35.6</v>
      </c>
      <c r="E30" s="348">
        <v>712</v>
      </c>
      <c r="F30" s="347">
        <f t="shared" si="1"/>
        <v>35.6</v>
      </c>
      <c r="G30" s="348">
        <v>0</v>
      </c>
      <c r="H30" s="347">
        <v>0</v>
      </c>
      <c r="I30" s="348">
        <f t="shared" si="2"/>
        <v>0</v>
      </c>
      <c r="J30" s="347">
        <f t="shared" si="3"/>
        <v>0</v>
      </c>
      <c r="K30" s="18">
        <v>0</v>
      </c>
      <c r="L30" s="355"/>
    </row>
    <row r="31" spans="1:12" x14ac:dyDescent="0.2">
      <c r="A31" s="8">
        <v>20</v>
      </c>
      <c r="B31" s="351" t="s">
        <v>894</v>
      </c>
      <c r="C31" s="348">
        <v>672</v>
      </c>
      <c r="D31" s="347">
        <f t="shared" si="0"/>
        <v>33.6</v>
      </c>
      <c r="E31" s="348">
        <v>672</v>
      </c>
      <c r="F31" s="347">
        <f t="shared" si="1"/>
        <v>33.6</v>
      </c>
      <c r="G31" s="348">
        <v>0</v>
      </c>
      <c r="H31" s="347">
        <v>0</v>
      </c>
      <c r="I31" s="348">
        <f t="shared" si="2"/>
        <v>0</v>
      </c>
      <c r="J31" s="347">
        <f t="shared" si="3"/>
        <v>0</v>
      </c>
      <c r="K31" s="18">
        <v>0</v>
      </c>
      <c r="L31" s="355"/>
    </row>
    <row r="32" spans="1:12" x14ac:dyDescent="0.2">
      <c r="A32" s="8">
        <v>21</v>
      </c>
      <c r="B32" s="351" t="s">
        <v>925</v>
      </c>
      <c r="C32" s="348">
        <v>772</v>
      </c>
      <c r="D32" s="347">
        <f t="shared" si="0"/>
        <v>38.6</v>
      </c>
      <c r="E32" s="348">
        <v>772</v>
      </c>
      <c r="F32" s="347">
        <f t="shared" si="1"/>
        <v>38.6</v>
      </c>
      <c r="G32" s="348">
        <v>0</v>
      </c>
      <c r="H32" s="347">
        <v>0</v>
      </c>
      <c r="I32" s="348">
        <f t="shared" si="2"/>
        <v>0</v>
      </c>
      <c r="J32" s="347">
        <f t="shared" si="3"/>
        <v>0</v>
      </c>
      <c r="K32" s="18">
        <v>0</v>
      </c>
      <c r="L32" s="355"/>
    </row>
    <row r="33" spans="1:16" x14ac:dyDescent="0.2">
      <c r="A33" s="8">
        <v>22</v>
      </c>
      <c r="B33" s="351" t="s">
        <v>896</v>
      </c>
      <c r="C33" s="348">
        <v>672</v>
      </c>
      <c r="D33" s="347">
        <f t="shared" si="0"/>
        <v>33.6</v>
      </c>
      <c r="E33" s="348">
        <v>672</v>
      </c>
      <c r="F33" s="347">
        <f t="shared" si="1"/>
        <v>33.6</v>
      </c>
      <c r="G33" s="348">
        <v>0</v>
      </c>
      <c r="H33" s="347">
        <v>0</v>
      </c>
      <c r="I33" s="348">
        <f t="shared" si="2"/>
        <v>0</v>
      </c>
      <c r="J33" s="347">
        <f t="shared" si="3"/>
        <v>0</v>
      </c>
      <c r="K33" s="18">
        <v>0</v>
      </c>
      <c r="L33" s="355"/>
    </row>
    <row r="34" spans="1:16" s="12" customFormat="1" x14ac:dyDescent="0.2">
      <c r="A34" s="8">
        <v>23</v>
      </c>
      <c r="B34" s="351" t="s">
        <v>926</v>
      </c>
      <c r="C34" s="348">
        <v>672</v>
      </c>
      <c r="D34" s="347">
        <f t="shared" si="0"/>
        <v>33.6</v>
      </c>
      <c r="E34" s="348">
        <v>672</v>
      </c>
      <c r="F34" s="347">
        <f t="shared" si="1"/>
        <v>33.6</v>
      </c>
      <c r="G34" s="348">
        <v>0</v>
      </c>
      <c r="H34" s="347">
        <v>0</v>
      </c>
      <c r="I34" s="348">
        <f t="shared" si="2"/>
        <v>0</v>
      </c>
      <c r="J34" s="347">
        <f t="shared" si="3"/>
        <v>0</v>
      </c>
      <c r="K34" s="18">
        <v>0</v>
      </c>
      <c r="L34" s="355"/>
    </row>
    <row r="35" spans="1:16" s="12" customFormat="1" x14ac:dyDescent="0.2">
      <c r="A35" s="8">
        <v>24</v>
      </c>
      <c r="B35" s="351" t="s">
        <v>898</v>
      </c>
      <c r="C35" s="348">
        <v>752</v>
      </c>
      <c r="D35" s="347">
        <f t="shared" si="0"/>
        <v>37.6</v>
      </c>
      <c r="E35" s="348">
        <v>752</v>
      </c>
      <c r="F35" s="347">
        <f t="shared" si="1"/>
        <v>37.6</v>
      </c>
      <c r="G35" s="348">
        <v>0</v>
      </c>
      <c r="H35" s="347">
        <v>0</v>
      </c>
      <c r="I35" s="348">
        <f t="shared" si="2"/>
        <v>0</v>
      </c>
      <c r="J35" s="347">
        <f t="shared" si="3"/>
        <v>0</v>
      </c>
      <c r="K35" s="18">
        <v>0</v>
      </c>
      <c r="L35" s="355"/>
    </row>
    <row r="36" spans="1:16" s="29" customFormat="1" x14ac:dyDescent="0.2">
      <c r="A36" s="733" t="s">
        <v>15</v>
      </c>
      <c r="B36" s="735"/>
      <c r="C36" s="350">
        <f t="shared" ref="C36:K36" si="4">SUM(C12:C35)</f>
        <v>15849</v>
      </c>
      <c r="D36" s="349">
        <f t="shared" si="4"/>
        <v>792.45000000000027</v>
      </c>
      <c r="E36" s="28">
        <f t="shared" si="4"/>
        <v>15849</v>
      </c>
      <c r="F36" s="349">
        <f t="shared" si="4"/>
        <v>792.45000000000027</v>
      </c>
      <c r="G36" s="350">
        <f t="shared" si="4"/>
        <v>0</v>
      </c>
      <c r="H36" s="349">
        <f t="shared" si="4"/>
        <v>0</v>
      </c>
      <c r="I36" s="350">
        <f t="shared" si="4"/>
        <v>0</v>
      </c>
      <c r="J36" s="349">
        <f t="shared" si="4"/>
        <v>0</v>
      </c>
      <c r="K36" s="28">
        <f t="shared" si="4"/>
        <v>0</v>
      </c>
    </row>
    <row r="37" spans="1:16" s="12" customFormat="1" x14ac:dyDescent="0.2"/>
    <row r="38" spans="1:16" s="12" customFormat="1" x14ac:dyDescent="0.2">
      <c r="A38" s="10" t="s">
        <v>37</v>
      </c>
    </row>
    <row r="39" spans="1:16" s="12" customFormat="1" x14ac:dyDescent="0.2">
      <c r="A39" s="10"/>
    </row>
    <row r="40" spans="1:16" s="12" customFormat="1" x14ac:dyDescent="0.2">
      <c r="A40" s="10"/>
    </row>
    <row r="41" spans="1:16" s="12" customFormat="1" x14ac:dyDescent="0.2">
      <c r="A41" s="10"/>
    </row>
    <row r="42" spans="1:16" x14ac:dyDescent="0.2">
      <c r="A42" s="671"/>
      <c r="B42" s="667"/>
      <c r="C42" s="667"/>
      <c r="D42" s="667"/>
      <c r="E42" s="667"/>
      <c r="F42" s="667"/>
      <c r="G42" s="667"/>
      <c r="H42" s="667"/>
      <c r="I42" s="757" t="s">
        <v>1107</v>
      </c>
      <c r="J42" s="757"/>
    </row>
    <row r="43" spans="1:16" s="15" customFormat="1" ht="12.75" customHeight="1" x14ac:dyDescent="0.2">
      <c r="A43" s="758" t="s">
        <v>1108</v>
      </c>
      <c r="B43" s="758"/>
      <c r="C43" s="758"/>
      <c r="D43" s="758"/>
      <c r="E43" s="758"/>
      <c r="F43" s="758"/>
      <c r="G43" s="758"/>
      <c r="H43" s="758"/>
      <c r="I43" s="758"/>
      <c r="J43" s="758"/>
      <c r="K43" s="567"/>
      <c r="L43" s="76"/>
      <c r="M43" s="76"/>
      <c r="N43" s="76"/>
      <c r="O43" s="76"/>
      <c r="P43" s="76"/>
    </row>
    <row r="44" spans="1:16" s="15" customFormat="1" ht="12.75" customHeight="1" x14ac:dyDescent="0.2">
      <c r="A44" s="758" t="s">
        <v>1111</v>
      </c>
      <c r="B44" s="758"/>
      <c r="C44" s="758"/>
      <c r="D44" s="758"/>
      <c r="E44" s="758"/>
      <c r="F44" s="758"/>
      <c r="G44" s="758"/>
      <c r="H44" s="758"/>
      <c r="I44" s="758"/>
      <c r="J44" s="758"/>
      <c r="K44" s="567"/>
      <c r="L44" s="76"/>
      <c r="M44" s="76"/>
      <c r="N44" s="76"/>
      <c r="O44" s="76"/>
      <c r="P44" s="76"/>
    </row>
    <row r="45" spans="1:16" s="15" customFormat="1" x14ac:dyDescent="0.2">
      <c r="A45" s="670" t="s">
        <v>1114</v>
      </c>
      <c r="B45" s="670"/>
      <c r="C45" s="670"/>
      <c r="D45" s="670"/>
      <c r="E45" s="670"/>
      <c r="F45" s="670"/>
      <c r="G45" s="671"/>
      <c r="H45" s="931" t="s">
        <v>1116</v>
      </c>
      <c r="I45" s="931"/>
      <c r="J45" s="671"/>
      <c r="K45" s="567"/>
      <c r="L45" s="76"/>
      <c r="M45" s="76"/>
      <c r="N45" s="76"/>
      <c r="O45" s="76"/>
      <c r="P45" s="76"/>
    </row>
  </sheetData>
  <mergeCells count="19">
    <mergeCell ref="C8:J8"/>
    <mergeCell ref="A9:A10"/>
    <mergeCell ref="B9:B10"/>
    <mergeCell ref="I42:J42"/>
    <mergeCell ref="A43:J43"/>
    <mergeCell ref="A44:J44"/>
    <mergeCell ref="A36:B36"/>
    <mergeCell ref="I7:K7"/>
    <mergeCell ref="D1:E1"/>
    <mergeCell ref="J1:K1"/>
    <mergeCell ref="A2:J2"/>
    <mergeCell ref="A3:J3"/>
    <mergeCell ref="A5:L5"/>
    <mergeCell ref="H45:I45"/>
    <mergeCell ref="C9:D9"/>
    <mergeCell ref="E9:F9"/>
    <mergeCell ref="G9:H9"/>
    <mergeCell ref="I9:J9"/>
    <mergeCell ref="K9:K10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topLeftCell="A13" zoomScaleNormal="100" zoomScaleSheetLayoutView="100" workbookViewId="0">
      <selection activeCell="L35" sqref="L35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250" customWidth="1"/>
    <col min="5" max="8" width="18.42578125" style="250" customWidth="1"/>
  </cols>
  <sheetData>
    <row r="1" spans="1:15" x14ac:dyDescent="0.2">
      <c r="A1" s="356"/>
      <c r="B1" s="356"/>
      <c r="C1" s="356"/>
      <c r="D1" s="356"/>
      <c r="E1" s="356"/>
      <c r="F1" s="356"/>
      <c r="G1" s="356"/>
      <c r="H1" s="357" t="s">
        <v>509</v>
      </c>
    </row>
    <row r="2" spans="1:15" ht="18" x14ac:dyDescent="0.35">
      <c r="A2" s="990" t="s">
        <v>0</v>
      </c>
      <c r="B2" s="990"/>
      <c r="C2" s="990"/>
      <c r="D2" s="990"/>
      <c r="E2" s="990"/>
      <c r="F2" s="990"/>
      <c r="G2" s="990"/>
      <c r="H2" s="990"/>
      <c r="I2" s="209"/>
      <c r="J2" s="209"/>
      <c r="K2" s="209"/>
      <c r="L2" s="209"/>
      <c r="M2" s="209"/>
      <c r="N2" s="209"/>
      <c r="O2" s="209"/>
    </row>
    <row r="3" spans="1:15" ht="21" x14ac:dyDescent="0.35">
      <c r="A3" s="991" t="s">
        <v>694</v>
      </c>
      <c r="B3" s="991"/>
      <c r="C3" s="991"/>
      <c r="D3" s="991"/>
      <c r="E3" s="991"/>
      <c r="F3" s="991"/>
      <c r="G3" s="991"/>
      <c r="H3" s="991"/>
      <c r="I3" s="210"/>
      <c r="J3" s="210"/>
      <c r="K3" s="210"/>
      <c r="L3" s="210"/>
      <c r="M3" s="210"/>
      <c r="N3" s="210"/>
      <c r="O3" s="210"/>
    </row>
    <row r="4" spans="1:15" ht="15" x14ac:dyDescent="0.3">
      <c r="A4" s="358"/>
      <c r="B4" s="358"/>
      <c r="C4" s="358"/>
      <c r="D4" s="358"/>
      <c r="E4" s="358"/>
      <c r="F4" s="358"/>
      <c r="G4" s="358"/>
      <c r="H4" s="358"/>
      <c r="I4" s="180"/>
      <c r="J4" s="180"/>
      <c r="K4" s="180"/>
      <c r="L4" s="180"/>
      <c r="M4" s="180"/>
      <c r="N4" s="180"/>
      <c r="O4" s="180"/>
    </row>
    <row r="5" spans="1:15" ht="18" x14ac:dyDescent="0.35">
      <c r="A5" s="990" t="s">
        <v>508</v>
      </c>
      <c r="B5" s="990"/>
      <c r="C5" s="990"/>
      <c r="D5" s="990"/>
      <c r="E5" s="990"/>
      <c r="F5" s="990"/>
      <c r="G5" s="990"/>
      <c r="H5" s="990"/>
      <c r="I5" s="209"/>
      <c r="J5" s="209"/>
      <c r="K5" s="209"/>
      <c r="L5" s="209"/>
      <c r="M5" s="209"/>
      <c r="N5" s="209"/>
      <c r="O5" s="209"/>
    </row>
    <row r="6" spans="1:15" ht="15" x14ac:dyDescent="0.3">
      <c r="A6" s="191" t="s">
        <v>1098</v>
      </c>
      <c r="B6" s="191"/>
      <c r="C6" s="358"/>
      <c r="D6" s="358"/>
      <c r="E6" s="358"/>
      <c r="F6" s="989" t="s">
        <v>772</v>
      </c>
      <c r="G6" s="989"/>
      <c r="H6" s="989"/>
      <c r="I6" s="180"/>
      <c r="J6" s="180"/>
      <c r="K6" s="180"/>
      <c r="L6" s="211"/>
      <c r="M6" s="211"/>
      <c r="N6" s="986"/>
      <c r="O6" s="986"/>
    </row>
    <row r="7" spans="1:15" s="359" customFormat="1" ht="31.5" customHeight="1" x14ac:dyDescent="0.2">
      <c r="A7" s="987" t="s">
        <v>1</v>
      </c>
      <c r="B7" s="987" t="s">
        <v>2</v>
      </c>
      <c r="C7" s="988" t="s">
        <v>381</v>
      </c>
      <c r="D7" s="992" t="s">
        <v>486</v>
      </c>
      <c r="E7" s="993"/>
      <c r="F7" s="993"/>
      <c r="G7" s="993"/>
      <c r="H7" s="994"/>
    </row>
    <row r="8" spans="1:15" s="359" customFormat="1" ht="34.5" customHeight="1" x14ac:dyDescent="0.2">
      <c r="A8" s="987"/>
      <c r="B8" s="987"/>
      <c r="C8" s="988"/>
      <c r="D8" s="360" t="s">
        <v>487</v>
      </c>
      <c r="E8" s="360" t="s">
        <v>488</v>
      </c>
      <c r="F8" s="360" t="s">
        <v>489</v>
      </c>
      <c r="G8" s="360" t="s">
        <v>645</v>
      </c>
      <c r="H8" s="360" t="s">
        <v>43</v>
      </c>
    </row>
    <row r="9" spans="1:15" s="359" customFormat="1" ht="15" x14ac:dyDescent="0.2">
      <c r="A9" s="361">
        <v>1</v>
      </c>
      <c r="B9" s="361">
        <v>2</v>
      </c>
      <c r="C9" s="361">
        <v>3</v>
      </c>
      <c r="D9" s="361">
        <v>4</v>
      </c>
      <c r="E9" s="361">
        <v>5</v>
      </c>
      <c r="F9" s="361">
        <v>6</v>
      </c>
      <c r="G9" s="361">
        <v>7</v>
      </c>
      <c r="H9" s="361">
        <v>8</v>
      </c>
    </row>
    <row r="10" spans="1:15" x14ac:dyDescent="0.2">
      <c r="A10" s="8">
        <v>1</v>
      </c>
      <c r="B10" s="351" t="s">
        <v>875</v>
      </c>
      <c r="C10" s="9">
        <f>'AT-3'!G9</f>
        <v>2177</v>
      </c>
      <c r="D10" s="184">
        <v>2063</v>
      </c>
      <c r="E10" s="184">
        <v>0</v>
      </c>
      <c r="F10" s="184">
        <v>0</v>
      </c>
      <c r="G10" s="184">
        <v>0</v>
      </c>
      <c r="H10" s="184">
        <f>C10-D10-E10-F10-G10</f>
        <v>114</v>
      </c>
      <c r="J10">
        <f>F10+H10</f>
        <v>114</v>
      </c>
    </row>
    <row r="11" spans="1:15" x14ac:dyDescent="0.2">
      <c r="A11" s="8">
        <v>2</v>
      </c>
      <c r="B11" s="351" t="s">
        <v>876</v>
      </c>
      <c r="C11" s="9">
        <f>'AT-3'!G10</f>
        <v>868</v>
      </c>
      <c r="D11" s="184">
        <v>782</v>
      </c>
      <c r="E11" s="184">
        <v>0</v>
      </c>
      <c r="F11" s="184">
        <v>0</v>
      </c>
      <c r="G11" s="184">
        <v>0</v>
      </c>
      <c r="H11" s="184">
        <f t="shared" ref="H11:H33" si="0">C11-D11-E11-F11-G11</f>
        <v>86</v>
      </c>
      <c r="J11">
        <f t="shared" ref="J11:J33" si="1">F11+H11</f>
        <v>86</v>
      </c>
    </row>
    <row r="12" spans="1:15" x14ac:dyDescent="0.2">
      <c r="A12" s="8">
        <v>3</v>
      </c>
      <c r="B12" s="351" t="s">
        <v>877</v>
      </c>
      <c r="C12" s="9">
        <f>'AT-3'!G11</f>
        <v>491</v>
      </c>
      <c r="D12" s="184">
        <v>472</v>
      </c>
      <c r="E12" s="184">
        <v>0</v>
      </c>
      <c r="F12" s="184">
        <v>19</v>
      </c>
      <c r="G12" s="184">
        <v>0</v>
      </c>
      <c r="H12" s="184">
        <f t="shared" si="0"/>
        <v>0</v>
      </c>
      <c r="J12">
        <f t="shared" si="1"/>
        <v>19</v>
      </c>
    </row>
    <row r="13" spans="1:15" x14ac:dyDescent="0.2">
      <c r="A13" s="8">
        <v>4</v>
      </c>
      <c r="B13" s="351" t="s">
        <v>878</v>
      </c>
      <c r="C13" s="9">
        <f>'AT-3'!G12</f>
        <v>1519</v>
      </c>
      <c r="D13" s="184">
        <v>1385</v>
      </c>
      <c r="E13" s="184">
        <v>0</v>
      </c>
      <c r="F13" s="184">
        <v>75</v>
      </c>
      <c r="G13" s="184">
        <v>0</v>
      </c>
      <c r="H13" s="184">
        <f t="shared" si="0"/>
        <v>59</v>
      </c>
      <c r="J13">
        <f t="shared" si="1"/>
        <v>134</v>
      </c>
    </row>
    <row r="14" spans="1:15" x14ac:dyDescent="0.2">
      <c r="A14" s="8">
        <v>5</v>
      </c>
      <c r="B14" s="351" t="s">
        <v>879</v>
      </c>
      <c r="C14" s="9">
        <f>'AT-3'!G13</f>
        <v>968</v>
      </c>
      <c r="D14" s="184">
        <v>893</v>
      </c>
      <c r="E14" s="184">
        <v>0</v>
      </c>
      <c r="F14" s="184">
        <v>0</v>
      </c>
      <c r="G14" s="184">
        <v>0</v>
      </c>
      <c r="H14" s="184">
        <f t="shared" si="0"/>
        <v>75</v>
      </c>
      <c r="J14">
        <f t="shared" si="1"/>
        <v>75</v>
      </c>
    </row>
    <row r="15" spans="1:15" x14ac:dyDescent="0.2">
      <c r="A15" s="8">
        <v>6</v>
      </c>
      <c r="B15" s="351" t="s">
        <v>880</v>
      </c>
      <c r="C15" s="9">
        <f>'AT-3'!G14</f>
        <v>1620</v>
      </c>
      <c r="D15" s="184">
        <f>1620-297</f>
        <v>1323</v>
      </c>
      <c r="E15" s="184">
        <v>0</v>
      </c>
      <c r="F15" s="184">
        <v>0</v>
      </c>
      <c r="G15" s="184">
        <v>297</v>
      </c>
      <c r="H15" s="184">
        <f t="shared" si="0"/>
        <v>0</v>
      </c>
      <c r="J15">
        <f t="shared" si="1"/>
        <v>0</v>
      </c>
    </row>
    <row r="16" spans="1:15" x14ac:dyDescent="0.2">
      <c r="A16" s="8">
        <v>7</v>
      </c>
      <c r="B16" s="351" t="s">
        <v>923</v>
      </c>
      <c r="C16" s="9">
        <f>'AT-3'!G15</f>
        <v>1381</v>
      </c>
      <c r="D16" s="184">
        <f>1381-79</f>
        <v>1302</v>
      </c>
      <c r="E16" s="184">
        <v>0</v>
      </c>
      <c r="F16" s="184">
        <v>0</v>
      </c>
      <c r="G16" s="184">
        <v>79</v>
      </c>
      <c r="H16" s="184">
        <f t="shared" si="0"/>
        <v>0</v>
      </c>
      <c r="J16">
        <f t="shared" si="1"/>
        <v>0</v>
      </c>
    </row>
    <row r="17" spans="1:10" x14ac:dyDescent="0.2">
      <c r="A17" s="8">
        <v>8</v>
      </c>
      <c r="B17" s="351" t="s">
        <v>882</v>
      </c>
      <c r="C17" s="9">
        <f>'AT-3'!G16</f>
        <v>2066</v>
      </c>
      <c r="D17" s="184">
        <v>2043</v>
      </c>
      <c r="E17" s="184">
        <v>0</v>
      </c>
      <c r="F17" s="184">
        <v>23</v>
      </c>
      <c r="G17" s="184">
        <v>0</v>
      </c>
      <c r="H17" s="184">
        <f t="shared" si="0"/>
        <v>0</v>
      </c>
      <c r="J17">
        <f t="shared" si="1"/>
        <v>23</v>
      </c>
    </row>
    <row r="18" spans="1:10" x14ac:dyDescent="0.2">
      <c r="A18" s="8">
        <v>9</v>
      </c>
      <c r="B18" s="351" t="s">
        <v>883</v>
      </c>
      <c r="C18" s="9">
        <f>'AT-3'!G17</f>
        <v>2499</v>
      </c>
      <c r="D18" s="184">
        <v>2499</v>
      </c>
      <c r="E18" s="184">
        <v>0</v>
      </c>
      <c r="F18" s="184">
        <v>0</v>
      </c>
      <c r="G18" s="184">
        <v>0</v>
      </c>
      <c r="H18" s="184">
        <f t="shared" si="0"/>
        <v>0</v>
      </c>
      <c r="J18">
        <f t="shared" si="1"/>
        <v>0</v>
      </c>
    </row>
    <row r="19" spans="1:10" x14ac:dyDescent="0.2">
      <c r="A19" s="8">
        <v>10</v>
      </c>
      <c r="B19" s="351" t="s">
        <v>884</v>
      </c>
      <c r="C19" s="9">
        <f>'AT-3'!G18</f>
        <v>1037</v>
      </c>
      <c r="D19" s="184">
        <v>1037</v>
      </c>
      <c r="E19" s="184">
        <v>0</v>
      </c>
      <c r="F19" s="184">
        <v>0</v>
      </c>
      <c r="G19" s="184">
        <v>0</v>
      </c>
      <c r="H19" s="184">
        <f t="shared" si="0"/>
        <v>0</v>
      </c>
      <c r="J19">
        <f t="shared" si="1"/>
        <v>0</v>
      </c>
    </row>
    <row r="20" spans="1:10" x14ac:dyDescent="0.2">
      <c r="A20" s="8">
        <v>11</v>
      </c>
      <c r="B20" s="351" t="s">
        <v>885</v>
      </c>
      <c r="C20" s="9">
        <f>'AT-3'!G19</f>
        <v>1420</v>
      </c>
      <c r="D20" s="184">
        <v>1197</v>
      </c>
      <c r="E20" s="184">
        <v>0</v>
      </c>
      <c r="F20" s="184">
        <v>0</v>
      </c>
      <c r="G20" s="184">
        <v>0</v>
      </c>
      <c r="H20" s="184">
        <f t="shared" si="0"/>
        <v>223</v>
      </c>
      <c r="J20">
        <f t="shared" si="1"/>
        <v>223</v>
      </c>
    </row>
    <row r="21" spans="1:10" x14ac:dyDescent="0.2">
      <c r="A21" s="8">
        <v>12</v>
      </c>
      <c r="B21" s="351" t="s">
        <v>886</v>
      </c>
      <c r="C21" s="9">
        <f>'AT-3'!G20</f>
        <v>1479</v>
      </c>
      <c r="D21" s="184">
        <v>1468</v>
      </c>
      <c r="E21" s="184">
        <v>0</v>
      </c>
      <c r="F21" s="184">
        <v>0</v>
      </c>
      <c r="G21" s="184">
        <v>0</v>
      </c>
      <c r="H21" s="184">
        <f t="shared" si="0"/>
        <v>11</v>
      </c>
      <c r="J21">
        <f t="shared" si="1"/>
        <v>11</v>
      </c>
    </row>
    <row r="22" spans="1:10" x14ac:dyDescent="0.2">
      <c r="A22" s="8">
        <v>13</v>
      </c>
      <c r="B22" s="351" t="s">
        <v>887</v>
      </c>
      <c r="C22" s="9">
        <f>'AT-3'!G21</f>
        <v>587</v>
      </c>
      <c r="D22" s="184">
        <v>572</v>
      </c>
      <c r="E22" s="184">
        <v>0</v>
      </c>
      <c r="F22" s="184">
        <v>0</v>
      </c>
      <c r="G22" s="184">
        <v>0</v>
      </c>
      <c r="H22" s="184">
        <f t="shared" si="0"/>
        <v>15</v>
      </c>
      <c r="J22">
        <f t="shared" si="1"/>
        <v>15</v>
      </c>
    </row>
    <row r="23" spans="1:10" x14ac:dyDescent="0.2">
      <c r="A23" s="8">
        <v>14</v>
      </c>
      <c r="B23" s="351" t="s">
        <v>888</v>
      </c>
      <c r="C23" s="9">
        <f>'AT-3'!G22</f>
        <v>659</v>
      </c>
      <c r="D23" s="184">
        <v>599</v>
      </c>
      <c r="E23" s="184">
        <v>0</v>
      </c>
      <c r="F23" s="184">
        <v>0</v>
      </c>
      <c r="G23" s="184">
        <v>0</v>
      </c>
      <c r="H23" s="184">
        <f t="shared" si="0"/>
        <v>60</v>
      </c>
      <c r="J23">
        <f t="shared" si="1"/>
        <v>60</v>
      </c>
    </row>
    <row r="24" spans="1:10" x14ac:dyDescent="0.2">
      <c r="A24" s="8">
        <v>15</v>
      </c>
      <c r="B24" s="351" t="s">
        <v>924</v>
      </c>
      <c r="C24" s="9">
        <f>'AT-3'!G23</f>
        <v>1539</v>
      </c>
      <c r="D24" s="184">
        <v>1362</v>
      </c>
      <c r="E24" s="184">
        <v>0</v>
      </c>
      <c r="F24" s="184">
        <v>0</v>
      </c>
      <c r="G24" s="184">
        <v>0</v>
      </c>
      <c r="H24" s="184">
        <f t="shared" si="0"/>
        <v>177</v>
      </c>
      <c r="J24">
        <f t="shared" si="1"/>
        <v>177</v>
      </c>
    </row>
    <row r="25" spans="1:10" x14ac:dyDescent="0.2">
      <c r="A25" s="8">
        <v>16</v>
      </c>
      <c r="B25" s="351" t="s">
        <v>890</v>
      </c>
      <c r="C25" s="9">
        <f>'AT-3'!G24</f>
        <v>3136</v>
      </c>
      <c r="D25" s="184">
        <v>2713</v>
      </c>
      <c r="E25" s="184">
        <v>0</v>
      </c>
      <c r="F25" s="184">
        <v>0</v>
      </c>
      <c r="G25" s="184">
        <v>0</v>
      </c>
      <c r="H25" s="184">
        <f t="shared" si="0"/>
        <v>423</v>
      </c>
      <c r="J25">
        <f t="shared" si="1"/>
        <v>423</v>
      </c>
    </row>
    <row r="26" spans="1:10" x14ac:dyDescent="0.2">
      <c r="A26" s="8">
        <v>17</v>
      </c>
      <c r="B26" s="351" t="s">
        <v>891</v>
      </c>
      <c r="C26" s="9">
        <f>'AT-3'!G25</f>
        <v>1694</v>
      </c>
      <c r="D26" s="184">
        <v>1694</v>
      </c>
      <c r="E26" s="184">
        <v>0</v>
      </c>
      <c r="F26" s="184">
        <v>0</v>
      </c>
      <c r="G26" s="184">
        <v>0</v>
      </c>
      <c r="H26" s="184">
        <f t="shared" si="0"/>
        <v>0</v>
      </c>
      <c r="J26">
        <f t="shared" si="1"/>
        <v>0</v>
      </c>
    </row>
    <row r="27" spans="1:10" x14ac:dyDescent="0.2">
      <c r="A27" s="8">
        <v>18</v>
      </c>
      <c r="B27" s="351" t="s">
        <v>892</v>
      </c>
      <c r="C27" s="9">
        <f>'AT-3'!G26</f>
        <v>1522</v>
      </c>
      <c r="D27" s="184">
        <v>1522</v>
      </c>
      <c r="E27" s="184">
        <v>0</v>
      </c>
      <c r="F27" s="184">
        <v>0</v>
      </c>
      <c r="G27" s="184">
        <v>0</v>
      </c>
      <c r="H27" s="184">
        <f t="shared" si="0"/>
        <v>0</v>
      </c>
      <c r="J27">
        <f t="shared" si="1"/>
        <v>0</v>
      </c>
    </row>
    <row r="28" spans="1:10" x14ac:dyDescent="0.2">
      <c r="A28" s="8">
        <v>19</v>
      </c>
      <c r="B28" s="351" t="s">
        <v>893</v>
      </c>
      <c r="C28" s="9">
        <f>'AT-3'!G27</f>
        <v>2314</v>
      </c>
      <c r="D28" s="184">
        <v>2314</v>
      </c>
      <c r="E28" s="184">
        <v>0</v>
      </c>
      <c r="F28" s="184">
        <v>0</v>
      </c>
      <c r="G28" s="184">
        <v>0</v>
      </c>
      <c r="H28" s="184">
        <f t="shared" si="0"/>
        <v>0</v>
      </c>
      <c r="J28">
        <f t="shared" si="1"/>
        <v>0</v>
      </c>
    </row>
    <row r="29" spans="1:10" x14ac:dyDescent="0.2">
      <c r="A29" s="8">
        <v>20</v>
      </c>
      <c r="B29" s="351" t="s">
        <v>894</v>
      </c>
      <c r="C29" s="9">
        <f>'AT-3'!G28</f>
        <v>1015</v>
      </c>
      <c r="D29" s="184">
        <v>1015</v>
      </c>
      <c r="E29" s="184">
        <v>0</v>
      </c>
      <c r="F29" s="184">
        <v>0</v>
      </c>
      <c r="G29" s="184">
        <v>0</v>
      </c>
      <c r="H29" s="184">
        <f t="shared" si="0"/>
        <v>0</v>
      </c>
      <c r="J29">
        <f t="shared" si="1"/>
        <v>0</v>
      </c>
    </row>
    <row r="30" spans="1:10" x14ac:dyDescent="0.2">
      <c r="A30" s="8">
        <v>21</v>
      </c>
      <c r="B30" s="351" t="s">
        <v>925</v>
      </c>
      <c r="C30" s="9">
        <f>'AT-3'!G29</f>
        <v>1286</v>
      </c>
      <c r="D30" s="184">
        <v>1147</v>
      </c>
      <c r="E30" s="184">
        <v>0</v>
      </c>
      <c r="F30" s="184">
        <v>0</v>
      </c>
      <c r="G30" s="184">
        <v>0</v>
      </c>
      <c r="H30" s="184">
        <f t="shared" si="0"/>
        <v>139</v>
      </c>
      <c r="J30">
        <f t="shared" si="1"/>
        <v>139</v>
      </c>
    </row>
    <row r="31" spans="1:10" x14ac:dyDescent="0.2">
      <c r="A31" s="8">
        <v>22</v>
      </c>
      <c r="B31" s="351" t="s">
        <v>896</v>
      </c>
      <c r="C31" s="9">
        <f>'AT-3'!G30</f>
        <v>1011</v>
      </c>
      <c r="D31" s="184">
        <v>989</v>
      </c>
      <c r="E31" s="184">
        <v>0</v>
      </c>
      <c r="F31" s="184">
        <v>0</v>
      </c>
      <c r="G31" s="184">
        <v>0</v>
      </c>
      <c r="H31" s="184">
        <f t="shared" si="0"/>
        <v>22</v>
      </c>
      <c r="J31">
        <f t="shared" si="1"/>
        <v>22</v>
      </c>
    </row>
    <row r="32" spans="1:10" x14ac:dyDescent="0.2">
      <c r="A32" s="8">
        <v>23</v>
      </c>
      <c r="B32" s="351" t="s">
        <v>926</v>
      </c>
      <c r="C32" s="9">
        <f>'AT-3'!G31</f>
        <v>1540</v>
      </c>
      <c r="D32" s="184">
        <v>1331</v>
      </c>
      <c r="E32" s="184">
        <v>0</v>
      </c>
      <c r="F32" s="184">
        <v>0</v>
      </c>
      <c r="G32" s="184">
        <v>0</v>
      </c>
      <c r="H32" s="184">
        <f t="shared" si="0"/>
        <v>209</v>
      </c>
      <c r="J32">
        <f t="shared" si="1"/>
        <v>209</v>
      </c>
    </row>
    <row r="33" spans="1:12" x14ac:dyDescent="0.2">
      <c r="A33" s="8">
        <v>24</v>
      </c>
      <c r="B33" s="351" t="s">
        <v>898</v>
      </c>
      <c r="C33" s="9">
        <f>'AT-3'!G32</f>
        <v>1945</v>
      </c>
      <c r="D33" s="184">
        <v>1945</v>
      </c>
      <c r="E33" s="184">
        <v>0</v>
      </c>
      <c r="F33" s="184">
        <v>0</v>
      </c>
      <c r="G33" s="184">
        <v>0</v>
      </c>
      <c r="H33" s="184">
        <f t="shared" si="0"/>
        <v>0</v>
      </c>
      <c r="J33">
        <f t="shared" si="1"/>
        <v>0</v>
      </c>
    </row>
    <row r="34" spans="1:12" ht="15" customHeight="1" x14ac:dyDescent="0.2">
      <c r="A34" s="995" t="s">
        <v>15</v>
      </c>
      <c r="B34" s="996"/>
      <c r="C34" s="138">
        <f t="shared" ref="C34:H34" si="2">SUM(C10:C33)</f>
        <v>35773</v>
      </c>
      <c r="D34" s="138">
        <f t="shared" si="2"/>
        <v>33667</v>
      </c>
      <c r="E34" s="138">
        <f t="shared" si="2"/>
        <v>0</v>
      </c>
      <c r="F34" s="138">
        <f t="shared" si="2"/>
        <v>117</v>
      </c>
      <c r="G34" s="138">
        <f t="shared" si="2"/>
        <v>376</v>
      </c>
      <c r="H34" s="138">
        <f t="shared" si="2"/>
        <v>1613</v>
      </c>
      <c r="L34">
        <f>D34/C34</f>
        <v>0.94112878427864588</v>
      </c>
    </row>
    <row r="35" spans="1:12" ht="15" customHeight="1" x14ac:dyDescent="0.2">
      <c r="A35" s="573"/>
      <c r="B35" s="573"/>
      <c r="C35" s="194"/>
      <c r="D35" s="194"/>
      <c r="E35" s="194"/>
      <c r="F35" s="194"/>
      <c r="G35" s="194"/>
      <c r="H35" s="194"/>
    </row>
    <row r="36" spans="1:12" ht="15" customHeight="1" x14ac:dyDescent="0.2">
      <c r="A36" s="186"/>
      <c r="B36" s="186"/>
      <c r="C36" s="186"/>
      <c r="D36" s="187"/>
      <c r="E36" s="187"/>
      <c r="F36" s="187"/>
      <c r="G36" s="187"/>
      <c r="H36" s="187"/>
      <c r="I36" s="669"/>
    </row>
    <row r="37" spans="1:12" ht="15" customHeight="1" x14ac:dyDescent="0.2">
      <c r="A37" s="186"/>
      <c r="B37" s="186"/>
      <c r="C37" s="186"/>
      <c r="D37" s="865" t="s">
        <v>1107</v>
      </c>
      <c r="E37" s="865"/>
      <c r="F37" s="865"/>
      <c r="G37" s="865"/>
      <c r="H37" s="865"/>
      <c r="I37" s="865"/>
      <c r="J37" s="667"/>
    </row>
    <row r="38" spans="1:12" ht="15" customHeight="1" x14ac:dyDescent="0.2">
      <c r="A38" s="186" t="s">
        <v>11</v>
      </c>
      <c r="B38" s="669"/>
      <c r="C38" s="186"/>
      <c r="D38" s="865" t="s">
        <v>1108</v>
      </c>
      <c r="E38" s="865"/>
      <c r="F38" s="865"/>
      <c r="G38" s="865"/>
      <c r="H38" s="865"/>
      <c r="I38" s="865"/>
      <c r="J38" s="667"/>
    </row>
    <row r="39" spans="1:12" x14ac:dyDescent="0.2">
      <c r="A39" s="669"/>
      <c r="B39" s="669"/>
      <c r="C39" s="669"/>
      <c r="D39" s="865" t="s">
        <v>1113</v>
      </c>
      <c r="E39" s="865"/>
      <c r="F39" s="865"/>
      <c r="G39" s="865"/>
      <c r="H39" s="865"/>
      <c r="I39" s="865"/>
      <c r="J39" s="667"/>
    </row>
    <row r="40" spans="1:12" x14ac:dyDescent="0.2">
      <c r="A40" s="669"/>
      <c r="B40" s="669"/>
      <c r="C40" s="669"/>
      <c r="D40" s="866" t="s">
        <v>1110</v>
      </c>
      <c r="E40" s="866"/>
      <c r="F40" s="866"/>
      <c r="G40" s="866"/>
      <c r="H40" s="866"/>
      <c r="I40" s="186"/>
      <c r="J40" s="671"/>
    </row>
  </sheetData>
  <mergeCells count="14">
    <mergeCell ref="D38:I38"/>
    <mergeCell ref="D39:I39"/>
    <mergeCell ref="D40:H40"/>
    <mergeCell ref="A2:H2"/>
    <mergeCell ref="A3:H3"/>
    <mergeCell ref="A5:H5"/>
    <mergeCell ref="D7:H7"/>
    <mergeCell ref="A34:B34"/>
    <mergeCell ref="N6:O6"/>
    <mergeCell ref="A7:A8"/>
    <mergeCell ref="B7:B8"/>
    <mergeCell ref="C7:C8"/>
    <mergeCell ref="F6:H6"/>
    <mergeCell ref="D37:I37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view="pageBreakPreview" topLeftCell="A22" zoomScale="85" zoomScaleNormal="80" zoomScaleSheetLayoutView="85" workbookViewId="0">
      <selection activeCell="M37" sqref="M37:N37"/>
    </sheetView>
  </sheetViews>
  <sheetFormatPr defaultRowHeight="12.75" x14ac:dyDescent="0.2"/>
  <cols>
    <col min="1" max="1" width="9.28515625" style="14" customWidth="1"/>
    <col min="2" max="3" width="8.5703125" style="14" customWidth="1"/>
    <col min="4" max="4" width="12" style="14" customWidth="1"/>
    <col min="5" max="5" width="8.5703125" style="14" customWidth="1"/>
    <col min="6" max="6" width="9.5703125" style="14" customWidth="1"/>
    <col min="7" max="7" width="8.5703125" style="14" customWidth="1"/>
    <col min="8" max="8" width="11.7109375" style="14" customWidth="1"/>
    <col min="9" max="15" width="8.5703125" style="14" customWidth="1"/>
    <col min="16" max="16" width="8.42578125" style="14" customWidth="1"/>
    <col min="17" max="17" width="10.28515625" style="14" customWidth="1"/>
    <col min="18" max="18" width="10.7109375" style="14" customWidth="1"/>
    <col min="19" max="19" width="8.5703125" style="14" customWidth="1"/>
    <col min="20" max="16384" width="9.140625" style="14"/>
  </cols>
  <sheetData>
    <row r="1" spans="1:19" x14ac:dyDescent="0.2">
      <c r="A1" s="14" t="s">
        <v>10</v>
      </c>
      <c r="H1" s="792"/>
      <c r="I1" s="792"/>
      <c r="R1" s="787" t="s">
        <v>52</v>
      </c>
      <c r="S1" s="787"/>
    </row>
    <row r="2" spans="1:19" s="13" customFormat="1" ht="15.75" x14ac:dyDescent="0.25">
      <c r="A2" s="788" t="s">
        <v>0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</row>
    <row r="3" spans="1:19" s="13" customFormat="1" ht="20.25" customHeight="1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</row>
    <row r="5" spans="1:19" s="13" customFormat="1" ht="15.75" x14ac:dyDescent="0.25">
      <c r="A5" s="790" t="s">
        <v>732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</row>
    <row r="6" spans="1:19" x14ac:dyDescent="0.2">
      <c r="A6" s="33" t="s">
        <v>1098</v>
      </c>
      <c r="B6" s="33"/>
    </row>
    <row r="7" spans="1:19" x14ac:dyDescent="0.2">
      <c r="A7" s="791" t="s">
        <v>160</v>
      </c>
      <c r="B7" s="791"/>
      <c r="C7" s="791"/>
      <c r="D7" s="791"/>
      <c r="E7" s="791"/>
      <c r="F7" s="791"/>
      <c r="G7" s="791"/>
      <c r="H7" s="791"/>
      <c r="I7" s="791"/>
      <c r="R7" s="29"/>
      <c r="S7" s="29"/>
    </row>
    <row r="9" spans="1:19" ht="18" customHeight="1" x14ac:dyDescent="0.2">
      <c r="A9" s="5"/>
      <c r="B9" s="775" t="s">
        <v>39</v>
      </c>
      <c r="C9" s="775"/>
      <c r="D9" s="775" t="s">
        <v>40</v>
      </c>
      <c r="E9" s="775"/>
      <c r="F9" s="775" t="s">
        <v>41</v>
      </c>
      <c r="G9" s="775"/>
      <c r="H9" s="793" t="s">
        <v>42</v>
      </c>
      <c r="I9" s="793"/>
      <c r="J9" s="775" t="s">
        <v>43</v>
      </c>
      <c r="K9" s="775"/>
      <c r="L9" s="25" t="s">
        <v>15</v>
      </c>
    </row>
    <row r="10" spans="1:19" s="63" customFormat="1" ht="13.5" customHeight="1" x14ac:dyDescent="0.2">
      <c r="A10" s="64">
        <v>1</v>
      </c>
      <c r="B10" s="782">
        <v>2</v>
      </c>
      <c r="C10" s="782"/>
      <c r="D10" s="782">
        <v>3</v>
      </c>
      <c r="E10" s="782"/>
      <c r="F10" s="782">
        <v>4</v>
      </c>
      <c r="G10" s="782"/>
      <c r="H10" s="782">
        <v>5</v>
      </c>
      <c r="I10" s="782"/>
      <c r="J10" s="782">
        <v>6</v>
      </c>
      <c r="K10" s="782"/>
      <c r="L10" s="64">
        <v>7</v>
      </c>
    </row>
    <row r="11" spans="1:19" x14ac:dyDescent="0.2">
      <c r="A11" s="3" t="s">
        <v>44</v>
      </c>
      <c r="B11" s="784">
        <v>1</v>
      </c>
      <c r="C11" s="784"/>
      <c r="D11" s="784">
        <v>141</v>
      </c>
      <c r="E11" s="784"/>
      <c r="F11" s="784">
        <v>44</v>
      </c>
      <c r="G11" s="784"/>
      <c r="H11" s="784">
        <v>29</v>
      </c>
      <c r="I11" s="784"/>
      <c r="J11" s="784">
        <v>1</v>
      </c>
      <c r="K11" s="784"/>
      <c r="L11" s="17">
        <f>SUM(B11:K11)</f>
        <v>216</v>
      </c>
    </row>
    <row r="12" spans="1:19" x14ac:dyDescent="0.2">
      <c r="A12" s="3" t="s">
        <v>45</v>
      </c>
      <c r="B12" s="784">
        <v>12272</v>
      </c>
      <c r="C12" s="784"/>
      <c r="D12" s="784">
        <v>28935</v>
      </c>
      <c r="E12" s="784"/>
      <c r="F12" s="784">
        <v>24997</v>
      </c>
      <c r="G12" s="784"/>
      <c r="H12" s="784">
        <v>7020</v>
      </c>
      <c r="I12" s="784"/>
      <c r="J12" s="784">
        <v>6151</v>
      </c>
      <c r="K12" s="784"/>
      <c r="L12" s="17">
        <f>SUM(B12:K12)</f>
        <v>79375</v>
      </c>
    </row>
    <row r="13" spans="1:19" x14ac:dyDescent="0.2">
      <c r="A13" s="3" t="s">
        <v>15</v>
      </c>
      <c r="B13" s="725">
        <f>SUM(B11:B12)</f>
        <v>12273</v>
      </c>
      <c r="C13" s="725"/>
      <c r="D13" s="725">
        <f>SUM(D11:D12)</f>
        <v>29076</v>
      </c>
      <c r="E13" s="725"/>
      <c r="F13" s="725">
        <f>SUM(F11:F12)</f>
        <v>25041</v>
      </c>
      <c r="G13" s="725"/>
      <c r="H13" s="725">
        <f>SUM(H11:H12)</f>
        <v>7049</v>
      </c>
      <c r="I13" s="725"/>
      <c r="J13" s="725">
        <f>SUM(J11:J12)</f>
        <v>6152</v>
      </c>
      <c r="K13" s="725"/>
      <c r="L13" s="3">
        <f>SUM(B13:K13)</f>
        <v>79591</v>
      </c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x14ac:dyDescent="0.2">
      <c r="A15" s="785" t="s">
        <v>421</v>
      </c>
      <c r="B15" s="785"/>
      <c r="C15" s="785"/>
      <c r="D15" s="785"/>
      <c r="E15" s="785"/>
      <c r="F15" s="785"/>
      <c r="G15" s="785"/>
      <c r="H15" s="11"/>
      <c r="I15" s="11"/>
      <c r="J15" s="11"/>
      <c r="K15" s="11"/>
      <c r="L15" s="11"/>
    </row>
    <row r="16" spans="1:19" ht="12.75" customHeight="1" x14ac:dyDescent="0.2">
      <c r="A16" s="760" t="s">
        <v>169</v>
      </c>
      <c r="B16" s="762"/>
      <c r="C16" s="726" t="s">
        <v>195</v>
      </c>
      <c r="D16" s="726"/>
      <c r="E16" s="3" t="s">
        <v>15</v>
      </c>
      <c r="I16" s="11"/>
      <c r="J16" s="11"/>
      <c r="K16" s="11"/>
      <c r="L16" s="11"/>
    </row>
    <row r="17" spans="1:24" x14ac:dyDescent="0.2">
      <c r="A17" s="794">
        <v>600</v>
      </c>
      <c r="B17" s="795"/>
      <c r="C17" s="794">
        <v>900</v>
      </c>
      <c r="D17" s="795"/>
      <c r="E17" s="299">
        <f>SUM(A17:D17)</f>
        <v>1500</v>
      </c>
      <c r="I17" s="11"/>
      <c r="J17" s="11"/>
      <c r="K17" s="11"/>
      <c r="L17" s="11"/>
    </row>
    <row r="18" spans="1:24" x14ac:dyDescent="0.2">
      <c r="A18" s="231"/>
      <c r="B18" s="231"/>
      <c r="C18" s="231"/>
      <c r="D18" s="231"/>
      <c r="E18" s="231"/>
      <c r="F18" s="231"/>
      <c r="G18" s="231"/>
      <c r="H18" s="11"/>
      <c r="I18" s="11"/>
      <c r="J18" s="11"/>
      <c r="K18" s="11"/>
      <c r="L18" s="11"/>
    </row>
    <row r="20" spans="1:24" ht="19.149999999999999" customHeight="1" x14ac:dyDescent="0.2">
      <c r="A20" s="786" t="s">
        <v>161</v>
      </c>
      <c r="B20" s="786"/>
      <c r="C20" s="786"/>
      <c r="D20" s="786"/>
      <c r="E20" s="786"/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  <c r="R20" s="786"/>
      <c r="S20" s="786"/>
    </row>
    <row r="21" spans="1:24" x14ac:dyDescent="0.2">
      <c r="A21" s="775" t="s">
        <v>19</v>
      </c>
      <c r="B21" s="775" t="s">
        <v>46</v>
      </c>
      <c r="C21" s="775"/>
      <c r="D21" s="775"/>
      <c r="E21" s="776" t="s">
        <v>20</v>
      </c>
      <c r="F21" s="776"/>
      <c r="G21" s="776"/>
      <c r="H21" s="776"/>
      <c r="I21" s="776"/>
      <c r="J21" s="776"/>
      <c r="K21" s="776"/>
      <c r="L21" s="776"/>
      <c r="M21" s="725" t="s">
        <v>21</v>
      </c>
      <c r="N21" s="725"/>
      <c r="O21" s="725"/>
      <c r="P21" s="725"/>
      <c r="Q21" s="725"/>
      <c r="R21" s="725"/>
      <c r="S21" s="725"/>
      <c r="T21" s="725"/>
    </row>
    <row r="22" spans="1:24" ht="33.75" customHeight="1" x14ac:dyDescent="0.2">
      <c r="A22" s="775"/>
      <c r="B22" s="775"/>
      <c r="C22" s="775"/>
      <c r="D22" s="775"/>
      <c r="E22" s="770" t="s">
        <v>126</v>
      </c>
      <c r="F22" s="772"/>
      <c r="G22" s="770" t="s">
        <v>162</v>
      </c>
      <c r="H22" s="772"/>
      <c r="I22" s="775" t="s">
        <v>47</v>
      </c>
      <c r="J22" s="775"/>
      <c r="K22" s="770" t="s">
        <v>89</v>
      </c>
      <c r="L22" s="772"/>
      <c r="M22" s="770" t="s">
        <v>90</v>
      </c>
      <c r="N22" s="772"/>
      <c r="O22" s="770" t="s">
        <v>162</v>
      </c>
      <c r="P22" s="772"/>
      <c r="Q22" s="775" t="s">
        <v>47</v>
      </c>
      <c r="R22" s="775"/>
      <c r="S22" s="775" t="s">
        <v>89</v>
      </c>
      <c r="T22" s="775"/>
    </row>
    <row r="23" spans="1:24" s="63" customFormat="1" ht="15.75" customHeight="1" x14ac:dyDescent="0.2">
      <c r="A23" s="64">
        <v>1</v>
      </c>
      <c r="B23" s="780">
        <v>2</v>
      </c>
      <c r="C23" s="783"/>
      <c r="D23" s="781"/>
      <c r="E23" s="780">
        <v>3</v>
      </c>
      <c r="F23" s="781"/>
      <c r="G23" s="780">
        <v>4</v>
      </c>
      <c r="H23" s="781"/>
      <c r="I23" s="782">
        <v>5</v>
      </c>
      <c r="J23" s="782"/>
      <c r="K23" s="782">
        <v>6</v>
      </c>
      <c r="L23" s="782"/>
      <c r="M23" s="780">
        <v>3</v>
      </c>
      <c r="N23" s="781"/>
      <c r="O23" s="780">
        <v>4</v>
      </c>
      <c r="P23" s="781"/>
      <c r="Q23" s="782">
        <v>5</v>
      </c>
      <c r="R23" s="782"/>
      <c r="S23" s="782">
        <v>6</v>
      </c>
      <c r="T23" s="782"/>
    </row>
    <row r="24" spans="1:24" ht="27.75" customHeight="1" x14ac:dyDescent="0.2">
      <c r="A24" s="62">
        <v>1</v>
      </c>
      <c r="B24" s="777" t="s">
        <v>479</v>
      </c>
      <c r="C24" s="778"/>
      <c r="D24" s="779"/>
      <c r="E24" s="739">
        <v>100</v>
      </c>
      <c r="F24" s="740"/>
      <c r="G24" s="733" t="s">
        <v>349</v>
      </c>
      <c r="H24" s="735"/>
      <c r="I24" s="741">
        <v>340</v>
      </c>
      <c r="J24" s="741"/>
      <c r="K24" s="741">
        <v>8</v>
      </c>
      <c r="L24" s="741"/>
      <c r="M24" s="739">
        <v>150</v>
      </c>
      <c r="N24" s="740"/>
      <c r="O24" s="733" t="s">
        <v>349</v>
      </c>
      <c r="P24" s="735"/>
      <c r="Q24" s="741">
        <v>510</v>
      </c>
      <c r="R24" s="741"/>
      <c r="S24" s="741">
        <v>12</v>
      </c>
      <c r="T24" s="741"/>
    </row>
    <row r="25" spans="1:24" x14ac:dyDescent="0.2">
      <c r="A25" s="62">
        <v>2</v>
      </c>
      <c r="B25" s="736" t="s">
        <v>48</v>
      </c>
      <c r="C25" s="737"/>
      <c r="D25" s="738"/>
      <c r="E25" s="739">
        <v>20</v>
      </c>
      <c r="F25" s="740"/>
      <c r="G25" s="739">
        <v>1.26</v>
      </c>
      <c r="H25" s="740"/>
      <c r="I25" s="741">
        <v>70</v>
      </c>
      <c r="J25" s="741"/>
      <c r="K25" s="741">
        <v>5</v>
      </c>
      <c r="L25" s="741"/>
      <c r="M25" s="739">
        <v>30</v>
      </c>
      <c r="N25" s="740"/>
      <c r="O25" s="739">
        <v>1.9</v>
      </c>
      <c r="P25" s="740">
        <v>2.0014563106796115</v>
      </c>
      <c r="Q25" s="741">
        <v>105</v>
      </c>
      <c r="R25" s="741"/>
      <c r="S25" s="741">
        <v>7.5</v>
      </c>
      <c r="T25" s="741"/>
      <c r="X25" s="300"/>
    </row>
    <row r="26" spans="1:24" x14ac:dyDescent="0.2">
      <c r="A26" s="62">
        <v>3</v>
      </c>
      <c r="B26" s="736" t="s">
        <v>163</v>
      </c>
      <c r="C26" s="737"/>
      <c r="D26" s="738"/>
      <c r="E26" s="739">
        <v>50</v>
      </c>
      <c r="F26" s="740"/>
      <c r="G26" s="739">
        <v>1.05</v>
      </c>
      <c r="H26" s="740"/>
      <c r="I26" s="741">
        <v>25</v>
      </c>
      <c r="J26" s="741"/>
      <c r="K26" s="741">
        <v>0</v>
      </c>
      <c r="L26" s="741"/>
      <c r="M26" s="739">
        <v>75</v>
      </c>
      <c r="N26" s="740"/>
      <c r="O26" s="739">
        <v>1.56</v>
      </c>
      <c r="P26" s="740">
        <v>1.5063592233009708</v>
      </c>
      <c r="Q26" s="741">
        <v>37</v>
      </c>
      <c r="R26" s="741"/>
      <c r="S26" s="741">
        <v>0</v>
      </c>
      <c r="T26" s="741"/>
      <c r="X26" s="300"/>
    </row>
    <row r="27" spans="1:24" x14ac:dyDescent="0.2">
      <c r="A27" s="62">
        <v>4</v>
      </c>
      <c r="B27" s="736" t="s">
        <v>49</v>
      </c>
      <c r="C27" s="737"/>
      <c r="D27" s="738"/>
      <c r="E27" s="739">
        <v>5</v>
      </c>
      <c r="F27" s="740"/>
      <c r="G27" s="739">
        <v>0.65</v>
      </c>
      <c r="H27" s="740"/>
      <c r="I27" s="741">
        <v>45</v>
      </c>
      <c r="J27" s="741"/>
      <c r="K27" s="741">
        <v>0</v>
      </c>
      <c r="L27" s="741"/>
      <c r="M27" s="739">
        <v>7.5</v>
      </c>
      <c r="N27" s="740"/>
      <c r="O27" s="739">
        <v>1</v>
      </c>
      <c r="P27" s="740">
        <v>0.94805825242718456</v>
      </c>
      <c r="Q27" s="741">
        <v>68</v>
      </c>
      <c r="R27" s="741"/>
      <c r="S27" s="741">
        <v>0</v>
      </c>
      <c r="T27" s="741"/>
      <c r="X27" s="300"/>
    </row>
    <row r="28" spans="1:24" x14ac:dyDescent="0.2">
      <c r="A28" s="62">
        <v>5</v>
      </c>
      <c r="B28" s="736" t="s">
        <v>50</v>
      </c>
      <c r="C28" s="737"/>
      <c r="D28" s="738"/>
      <c r="E28" s="739">
        <v>0</v>
      </c>
      <c r="F28" s="740"/>
      <c r="G28" s="739">
        <v>0.77</v>
      </c>
      <c r="H28" s="740"/>
      <c r="I28" s="741">
        <v>0</v>
      </c>
      <c r="J28" s="741"/>
      <c r="K28" s="741">
        <v>0</v>
      </c>
      <c r="L28" s="741"/>
      <c r="M28" s="739">
        <v>0</v>
      </c>
      <c r="N28" s="740"/>
      <c r="O28" s="739">
        <v>1.1299999999999999</v>
      </c>
      <c r="P28" s="740">
        <v>1.1376699029126216</v>
      </c>
      <c r="Q28" s="741">
        <v>0</v>
      </c>
      <c r="R28" s="741"/>
      <c r="S28" s="741">
        <v>0</v>
      </c>
      <c r="T28" s="741"/>
      <c r="X28" s="300"/>
    </row>
    <row r="29" spans="1:24" x14ac:dyDescent="0.2">
      <c r="A29" s="62">
        <v>6</v>
      </c>
      <c r="B29" s="736" t="s">
        <v>51</v>
      </c>
      <c r="C29" s="737"/>
      <c r="D29" s="738"/>
      <c r="E29" s="739">
        <v>0</v>
      </c>
      <c r="F29" s="740"/>
      <c r="G29" s="739">
        <v>0.62</v>
      </c>
      <c r="H29" s="740"/>
      <c r="I29" s="741">
        <v>0</v>
      </c>
      <c r="J29" s="741"/>
      <c r="K29" s="741">
        <v>0</v>
      </c>
      <c r="L29" s="741"/>
      <c r="M29" s="739">
        <v>0</v>
      </c>
      <c r="N29" s="740"/>
      <c r="O29" s="739">
        <v>0.92</v>
      </c>
      <c r="P29" s="740">
        <v>0.91645631067961153</v>
      </c>
      <c r="Q29" s="741">
        <v>0</v>
      </c>
      <c r="R29" s="741"/>
      <c r="S29" s="741">
        <v>0</v>
      </c>
      <c r="T29" s="741"/>
      <c r="X29" s="300"/>
    </row>
    <row r="30" spans="1:24" x14ac:dyDescent="0.2">
      <c r="A30" s="62">
        <v>7</v>
      </c>
      <c r="B30" s="752" t="s">
        <v>164</v>
      </c>
      <c r="C30" s="752"/>
      <c r="D30" s="752"/>
      <c r="E30" s="741">
        <v>0</v>
      </c>
      <c r="F30" s="741"/>
      <c r="G30" s="741">
        <v>0</v>
      </c>
      <c r="H30" s="741"/>
      <c r="I30" s="741">
        <v>0</v>
      </c>
      <c r="J30" s="741"/>
      <c r="K30" s="741">
        <v>0</v>
      </c>
      <c r="L30" s="741"/>
      <c r="M30" s="741">
        <v>0</v>
      </c>
      <c r="N30" s="741"/>
      <c r="O30" s="741">
        <v>0</v>
      </c>
      <c r="P30" s="741">
        <v>0</v>
      </c>
      <c r="Q30" s="741">
        <v>0</v>
      </c>
      <c r="R30" s="741"/>
      <c r="S30" s="741">
        <v>0</v>
      </c>
      <c r="T30" s="741"/>
      <c r="X30" s="300"/>
    </row>
    <row r="31" spans="1:24" x14ac:dyDescent="0.2">
      <c r="A31" s="62"/>
      <c r="B31" s="775" t="s">
        <v>15</v>
      </c>
      <c r="C31" s="775"/>
      <c r="D31" s="775"/>
      <c r="E31" s="753">
        <f>SUM(E24:E30)</f>
        <v>175</v>
      </c>
      <c r="F31" s="753"/>
      <c r="G31" s="753">
        <f>SUM(G24:G30)</f>
        <v>4.3499999999999996</v>
      </c>
      <c r="H31" s="753"/>
      <c r="I31" s="753">
        <f>SUM(I24:I30)</f>
        <v>480</v>
      </c>
      <c r="J31" s="753"/>
      <c r="K31" s="753">
        <f>SUM(K24:K30)</f>
        <v>13</v>
      </c>
      <c r="L31" s="753"/>
      <c r="M31" s="753">
        <f>SUM(M24:M30)</f>
        <v>262.5</v>
      </c>
      <c r="N31" s="753"/>
      <c r="O31" s="753">
        <f>SUM(O24:O30)</f>
        <v>6.51</v>
      </c>
      <c r="P31" s="753"/>
      <c r="Q31" s="753">
        <f>SUM(Q24:Q30)</f>
        <v>720</v>
      </c>
      <c r="R31" s="753"/>
      <c r="S31" s="753">
        <f>SUM(S24:S30)</f>
        <v>19.5</v>
      </c>
      <c r="T31" s="753"/>
    </row>
    <row r="32" spans="1:24" x14ac:dyDescent="0.2">
      <c r="A32" s="111"/>
      <c r="B32" s="112"/>
      <c r="C32" s="112"/>
      <c r="D32" s="1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 customHeight="1" x14ac:dyDescent="0.2">
      <c r="A33" s="234" t="s">
        <v>401</v>
      </c>
      <c r="B33" s="745" t="s">
        <v>455</v>
      </c>
      <c r="C33" s="745"/>
      <c r="D33" s="745"/>
      <c r="E33" s="745"/>
      <c r="F33" s="745"/>
      <c r="G33" s="745"/>
      <c r="H33" s="745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x14ac:dyDescent="0.2">
      <c r="A34" s="234"/>
      <c r="B34" s="112"/>
      <c r="C34" s="112"/>
      <c r="D34" s="1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29" customFormat="1" ht="17.25" customHeight="1" x14ac:dyDescent="0.2">
      <c r="A35" s="2" t="s">
        <v>19</v>
      </c>
      <c r="B35" s="746" t="s">
        <v>402</v>
      </c>
      <c r="C35" s="747"/>
      <c r="D35" s="748"/>
      <c r="E35" s="770" t="s">
        <v>20</v>
      </c>
      <c r="F35" s="771"/>
      <c r="G35" s="771"/>
      <c r="H35" s="771"/>
      <c r="I35" s="771"/>
      <c r="J35" s="772"/>
      <c r="K35" s="725" t="s">
        <v>21</v>
      </c>
      <c r="L35" s="725"/>
      <c r="M35" s="725"/>
      <c r="N35" s="725"/>
      <c r="O35" s="725"/>
      <c r="P35" s="725"/>
      <c r="Q35" s="766" t="s">
        <v>913</v>
      </c>
      <c r="R35" s="767"/>
      <c r="S35" s="755"/>
      <c r="T35" s="755"/>
    </row>
    <row r="36" spans="1:20" x14ac:dyDescent="0.2">
      <c r="A36" s="4"/>
      <c r="B36" s="749"/>
      <c r="C36" s="750"/>
      <c r="D36" s="751"/>
      <c r="E36" s="733" t="s">
        <v>418</v>
      </c>
      <c r="F36" s="735"/>
      <c r="G36" s="733" t="s">
        <v>419</v>
      </c>
      <c r="H36" s="735"/>
      <c r="I36" s="733" t="s">
        <v>420</v>
      </c>
      <c r="J36" s="735"/>
      <c r="K36" s="725" t="s">
        <v>418</v>
      </c>
      <c r="L36" s="725"/>
      <c r="M36" s="725" t="s">
        <v>419</v>
      </c>
      <c r="N36" s="725"/>
      <c r="O36" s="725" t="s">
        <v>420</v>
      </c>
      <c r="P36" s="725"/>
      <c r="Q36" s="768"/>
      <c r="R36" s="769"/>
      <c r="S36" s="11"/>
      <c r="T36" s="11"/>
    </row>
    <row r="37" spans="1:20" ht="54.75" customHeight="1" x14ac:dyDescent="0.2">
      <c r="A37" s="298">
        <v>1</v>
      </c>
      <c r="B37" s="744" t="s">
        <v>903</v>
      </c>
      <c r="C37" s="744"/>
      <c r="D37" s="744"/>
      <c r="E37" s="743">
        <v>1</v>
      </c>
      <c r="F37" s="743"/>
      <c r="G37" s="742" t="s">
        <v>904</v>
      </c>
      <c r="H37" s="742"/>
      <c r="I37" s="742" t="s">
        <v>905</v>
      </c>
      <c r="J37" s="742"/>
      <c r="K37" s="743">
        <v>1</v>
      </c>
      <c r="L37" s="743"/>
      <c r="M37" s="742" t="s">
        <v>904</v>
      </c>
      <c r="N37" s="742"/>
      <c r="O37" s="742" t="s">
        <v>905</v>
      </c>
      <c r="P37" s="742"/>
      <c r="Q37" s="773" t="s">
        <v>914</v>
      </c>
      <c r="R37" s="774"/>
      <c r="S37" s="11"/>
      <c r="T37" s="11"/>
    </row>
    <row r="38" spans="1:20" s="310" customFormat="1" ht="49.5" customHeight="1" x14ac:dyDescent="0.2">
      <c r="A38" s="159">
        <v>1</v>
      </c>
      <c r="B38" s="744" t="s">
        <v>903</v>
      </c>
      <c r="C38" s="744"/>
      <c r="D38" s="744"/>
      <c r="E38" s="743">
        <v>1</v>
      </c>
      <c r="F38" s="743"/>
      <c r="G38" s="742" t="s">
        <v>906</v>
      </c>
      <c r="H38" s="742"/>
      <c r="I38" s="742" t="s">
        <v>908</v>
      </c>
      <c r="J38" s="742"/>
      <c r="K38" s="743">
        <v>1</v>
      </c>
      <c r="L38" s="743"/>
      <c r="M38" s="742" t="s">
        <v>907</v>
      </c>
      <c r="N38" s="742"/>
      <c r="O38" s="742" t="s">
        <v>908</v>
      </c>
      <c r="P38" s="742"/>
      <c r="Q38" s="773" t="s">
        <v>912</v>
      </c>
      <c r="R38" s="774"/>
      <c r="S38" s="309"/>
      <c r="T38" s="309"/>
    </row>
    <row r="41" spans="1:20" ht="13.9" customHeight="1" x14ac:dyDescent="0.2">
      <c r="A41" s="765" t="s">
        <v>174</v>
      </c>
      <c r="B41" s="765"/>
      <c r="C41" s="765"/>
      <c r="D41" s="765"/>
      <c r="E41" s="765"/>
      <c r="F41" s="765"/>
      <c r="G41" s="765"/>
      <c r="H41" s="765"/>
      <c r="I41" s="765"/>
    </row>
    <row r="42" spans="1:20" ht="15" customHeight="1" x14ac:dyDescent="0.2">
      <c r="A42" s="725" t="s">
        <v>54</v>
      </c>
      <c r="B42" s="725" t="s">
        <v>20</v>
      </c>
      <c r="C42" s="725"/>
      <c r="D42" s="725"/>
      <c r="E42" s="726" t="s">
        <v>21</v>
      </c>
      <c r="F42" s="726"/>
      <c r="G42" s="726"/>
      <c r="H42" s="727" t="s">
        <v>139</v>
      </c>
      <c r="I42" s="15"/>
      <c r="J42" s="729" t="s">
        <v>54</v>
      </c>
      <c r="K42" s="730"/>
      <c r="L42" s="733" t="s">
        <v>20</v>
      </c>
      <c r="M42" s="734"/>
      <c r="N42" s="735"/>
      <c r="O42" s="760" t="s">
        <v>21</v>
      </c>
      <c r="P42" s="761"/>
      <c r="Q42" s="762"/>
      <c r="R42" s="5" t="s">
        <v>139</v>
      </c>
      <c r="S42" s="11"/>
      <c r="T42" s="11"/>
    </row>
    <row r="43" spans="1:20" x14ac:dyDescent="0.2">
      <c r="A43" s="725"/>
      <c r="B43" s="3" t="s">
        <v>165</v>
      </c>
      <c r="C43" s="297" t="s">
        <v>96</v>
      </c>
      <c r="D43" s="3" t="s">
        <v>15</v>
      </c>
      <c r="E43" s="3" t="s">
        <v>165</v>
      </c>
      <c r="F43" s="297" t="s">
        <v>96</v>
      </c>
      <c r="G43" s="3" t="s">
        <v>15</v>
      </c>
      <c r="H43" s="728"/>
      <c r="I43" s="15"/>
      <c r="J43" s="731"/>
      <c r="K43" s="732"/>
      <c r="L43" s="3" t="s">
        <v>165</v>
      </c>
      <c r="M43" s="297" t="s">
        <v>96</v>
      </c>
      <c r="N43" s="3" t="s">
        <v>15</v>
      </c>
      <c r="O43" s="3" t="s">
        <v>165</v>
      </c>
      <c r="P43" s="297" t="s">
        <v>96</v>
      </c>
      <c r="Q43" s="3" t="s">
        <v>15</v>
      </c>
      <c r="R43" s="5"/>
      <c r="S43" s="11"/>
      <c r="T43" s="11"/>
    </row>
    <row r="44" spans="1:20" s="307" customFormat="1" ht="38.25" x14ac:dyDescent="0.2">
      <c r="A44" s="301" t="s">
        <v>682</v>
      </c>
      <c r="B44" s="302">
        <v>2.48</v>
      </c>
      <c r="C44" s="302">
        <v>1.65</v>
      </c>
      <c r="D44" s="302">
        <f>SUM(B44:C44)</f>
        <v>4.13</v>
      </c>
      <c r="E44" s="302">
        <v>3.71</v>
      </c>
      <c r="F44" s="302">
        <v>2.4700000000000002</v>
      </c>
      <c r="G44" s="302">
        <f>SUM(E44:F44)</f>
        <v>6.18</v>
      </c>
      <c r="H44" s="303" t="s">
        <v>911</v>
      </c>
      <c r="I44" s="304"/>
      <c r="J44" s="763" t="s">
        <v>909</v>
      </c>
      <c r="K44" s="764"/>
      <c r="L44" s="305">
        <v>2.48</v>
      </c>
      <c r="M44" s="305">
        <v>5.65</v>
      </c>
      <c r="N44" s="305">
        <f>SUM(L44:M44)</f>
        <v>8.1300000000000008</v>
      </c>
      <c r="O44" s="305">
        <v>3.71</v>
      </c>
      <c r="P44" s="305">
        <v>6.47</v>
      </c>
      <c r="Q44" s="305">
        <f>SUM(O44:P44)</f>
        <v>10.18</v>
      </c>
      <c r="R44" s="303" t="s">
        <v>914</v>
      </c>
      <c r="S44" s="306"/>
      <c r="T44" s="306"/>
    </row>
    <row r="45" spans="1:20" s="307" customFormat="1" ht="38.25" x14ac:dyDescent="0.2">
      <c r="A45" s="301" t="s">
        <v>682</v>
      </c>
      <c r="B45" s="302">
        <v>2.61</v>
      </c>
      <c r="C45" s="302">
        <v>1.74</v>
      </c>
      <c r="D45" s="302">
        <f>SUM(B45:C45)</f>
        <v>4.3499999999999996</v>
      </c>
      <c r="E45" s="302">
        <v>3.91</v>
      </c>
      <c r="F45" s="302">
        <v>2.6</v>
      </c>
      <c r="G45" s="302">
        <f>SUM(E45:F45)</f>
        <v>6.51</v>
      </c>
      <c r="H45" s="303" t="s">
        <v>910</v>
      </c>
      <c r="I45" s="304"/>
      <c r="J45" s="763" t="s">
        <v>909</v>
      </c>
      <c r="K45" s="764"/>
      <c r="L45" s="305">
        <v>2.61</v>
      </c>
      <c r="M45" s="305">
        <v>7.74</v>
      </c>
      <c r="N45" s="305">
        <f>SUM(L45:M45)</f>
        <v>10.35</v>
      </c>
      <c r="O45" s="305">
        <v>3.91</v>
      </c>
      <c r="P45" s="305">
        <v>8.6</v>
      </c>
      <c r="Q45" s="305">
        <f>SUM(O45:P45)</f>
        <v>12.51</v>
      </c>
      <c r="R45" s="303" t="s">
        <v>912</v>
      </c>
      <c r="S45" s="306"/>
      <c r="T45" s="306"/>
    </row>
    <row r="46" spans="1:20" s="307" customFormat="1" ht="30" customHeight="1" x14ac:dyDescent="0.2">
      <c r="A46" s="301" t="s">
        <v>682</v>
      </c>
      <c r="B46" s="302">
        <v>2.8057499999999997</v>
      </c>
      <c r="C46" s="302">
        <v>1.8705000000000001</v>
      </c>
      <c r="D46" s="302">
        <f>SUM(B46:C46)</f>
        <v>4.6762499999999996</v>
      </c>
      <c r="E46" s="302">
        <v>4.2032500000000006</v>
      </c>
      <c r="F46" s="302">
        <v>2.7949999999999999</v>
      </c>
      <c r="G46" s="302">
        <f>SUM(E46:F46)</f>
        <v>6.9982500000000005</v>
      </c>
      <c r="H46" s="308" t="s">
        <v>166</v>
      </c>
      <c r="I46" s="304"/>
      <c r="J46" s="763" t="s">
        <v>909</v>
      </c>
      <c r="K46" s="764"/>
      <c r="L46" s="305">
        <f>B46</f>
        <v>2.8057499999999997</v>
      </c>
      <c r="M46" s="305">
        <f>C46+6</f>
        <v>7.8704999999999998</v>
      </c>
      <c r="N46" s="305">
        <f>SUM(L46:M46)</f>
        <v>10.67625</v>
      </c>
      <c r="O46" s="305">
        <f>E46</f>
        <v>4.2032500000000006</v>
      </c>
      <c r="P46" s="305">
        <f>F46+6</f>
        <v>8.7949999999999999</v>
      </c>
      <c r="Q46" s="305">
        <f>SUM(O46:P46)</f>
        <v>12.998250000000001</v>
      </c>
      <c r="R46" s="308" t="s">
        <v>166</v>
      </c>
      <c r="S46" s="306"/>
      <c r="T46" s="306"/>
    </row>
    <row r="47" spans="1:20" ht="15" customHeight="1" x14ac:dyDescent="0.2">
      <c r="A47" s="754" t="s">
        <v>222</v>
      </c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</row>
    <row r="48" spans="1:20" ht="15" x14ac:dyDescent="0.25">
      <c r="A48" s="110"/>
      <c r="B48" s="232"/>
      <c r="C48" s="232"/>
      <c r="D48" s="12"/>
      <c r="E48" s="12"/>
      <c r="F48" s="233"/>
      <c r="G48" s="233"/>
      <c r="H48" s="233"/>
      <c r="I48"/>
    </row>
    <row r="49" spans="1:21" ht="15" x14ac:dyDescent="0.25">
      <c r="A49" s="29"/>
      <c r="B49" s="311"/>
      <c r="C49" s="311"/>
      <c r="D49" s="311"/>
      <c r="E49" s="311"/>
      <c r="F49" s="311"/>
      <c r="G49" s="311"/>
      <c r="H49" s="233"/>
      <c r="I49"/>
    </row>
    <row r="50" spans="1:21" x14ac:dyDescent="0.2">
      <c r="B50" s="300"/>
      <c r="C50" s="300"/>
      <c r="D50" s="300"/>
      <c r="E50" s="300"/>
      <c r="F50" s="300"/>
      <c r="G50" s="300"/>
    </row>
    <row r="52" spans="1:21" s="15" customFormat="1" ht="12.75" customHeight="1" x14ac:dyDescent="0.2">
      <c r="A52" s="14"/>
      <c r="B52" s="14"/>
      <c r="C52" s="14"/>
      <c r="D52" s="14"/>
      <c r="E52" s="14"/>
      <c r="F52" s="14"/>
      <c r="G52" s="14"/>
      <c r="I52" s="14"/>
      <c r="O52" s="76"/>
      <c r="P52" s="76"/>
      <c r="Q52" s="76"/>
    </row>
    <row r="53" spans="1:21" s="15" customFormat="1" ht="12.75" customHeight="1" x14ac:dyDescent="0.2">
      <c r="A53" s="448"/>
      <c r="B53" s="448"/>
      <c r="C53" s="670" t="s">
        <v>11</v>
      </c>
      <c r="D53" s="670"/>
      <c r="E53" s="670"/>
      <c r="F53" s="670"/>
      <c r="G53" s="670"/>
      <c r="H53" s="670"/>
      <c r="I53" s="670"/>
      <c r="J53" s="671"/>
      <c r="K53" s="670"/>
      <c r="L53" s="671"/>
      <c r="M53" s="671"/>
      <c r="N53" s="671"/>
      <c r="O53" s="671"/>
      <c r="P53" s="671"/>
      <c r="Q53" s="758" t="s">
        <v>1107</v>
      </c>
      <c r="R53" s="758"/>
      <c r="S53" s="759"/>
      <c r="T53" s="671"/>
      <c r="U53" s="671"/>
    </row>
    <row r="54" spans="1:21" s="15" customFormat="1" ht="13.15" customHeight="1" x14ac:dyDescent="0.2">
      <c r="A54" s="448"/>
      <c r="B54" s="448"/>
      <c r="C54" s="758" t="s">
        <v>1108</v>
      </c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671"/>
      <c r="U54" s="671"/>
    </row>
    <row r="55" spans="1:21" ht="12.75" customHeight="1" x14ac:dyDescent="0.2">
      <c r="A55" s="448"/>
      <c r="B55" s="448"/>
      <c r="C55" s="757" t="s">
        <v>1109</v>
      </c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</row>
    <row r="56" spans="1:21" x14ac:dyDescent="0.2">
      <c r="C56" s="669"/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756" t="s">
        <v>1110</v>
      </c>
      <c r="Q56" s="756"/>
      <c r="R56" s="756"/>
      <c r="S56" s="756"/>
      <c r="T56" s="669"/>
      <c r="U56" s="669"/>
    </row>
  </sheetData>
  <mergeCells count="174">
    <mergeCell ref="H9:I9"/>
    <mergeCell ref="A17:B17"/>
    <mergeCell ref="C17:D17"/>
    <mergeCell ref="J12:K12"/>
    <mergeCell ref="F13:G13"/>
    <mergeCell ref="H13:I13"/>
    <mergeCell ref="H12:I12"/>
    <mergeCell ref="J10:K10"/>
    <mergeCell ref="F12:G12"/>
    <mergeCell ref="D11:E11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D10:E10"/>
    <mergeCell ref="F10:G10"/>
    <mergeCell ref="K24:L24"/>
    <mergeCell ref="A20:S20"/>
    <mergeCell ref="S24:T24"/>
    <mergeCell ref="Q23:R23"/>
    <mergeCell ref="M23:N23"/>
    <mergeCell ref="O23:P23"/>
    <mergeCell ref="K22:L22"/>
    <mergeCell ref="E22:F22"/>
    <mergeCell ref="I24:J24"/>
    <mergeCell ref="M27:N27"/>
    <mergeCell ref="E24:F24"/>
    <mergeCell ref="O29:P29"/>
    <mergeCell ref="K25:L25"/>
    <mergeCell ref="K26:L26"/>
    <mergeCell ref="I27:J27"/>
    <mergeCell ref="I29:J29"/>
    <mergeCell ref="S22:T22"/>
    <mergeCell ref="Q22:R22"/>
    <mergeCell ref="G23:H23"/>
    <mergeCell ref="G22:H22"/>
    <mergeCell ref="I22:J22"/>
    <mergeCell ref="M22:N22"/>
    <mergeCell ref="I23:J23"/>
    <mergeCell ref="O22:P22"/>
    <mergeCell ref="J13:K13"/>
    <mergeCell ref="J11:K11"/>
    <mergeCell ref="D13:E13"/>
    <mergeCell ref="F11:G11"/>
    <mergeCell ref="H11:I11"/>
    <mergeCell ref="M21:T21"/>
    <mergeCell ref="D12:E12"/>
    <mergeCell ref="A15:G15"/>
    <mergeCell ref="C16:D16"/>
    <mergeCell ref="A16:B16"/>
    <mergeCell ref="H10:I10"/>
    <mergeCell ref="S23:T23"/>
    <mergeCell ref="B10:C10"/>
    <mergeCell ref="B23:D23"/>
    <mergeCell ref="E31:F31"/>
    <mergeCell ref="B31:D31"/>
    <mergeCell ref="G28:H28"/>
    <mergeCell ref="B13:C13"/>
    <mergeCell ref="B11:C11"/>
    <mergeCell ref="B12:C12"/>
    <mergeCell ref="B24:D24"/>
    <mergeCell ref="E23:F23"/>
    <mergeCell ref="K23:L23"/>
    <mergeCell ref="B29:D29"/>
    <mergeCell ref="K29:L29"/>
    <mergeCell ref="G24:H24"/>
    <mergeCell ref="K27:L27"/>
    <mergeCell ref="E25:F25"/>
    <mergeCell ref="G25:H25"/>
    <mergeCell ref="E26:F26"/>
    <mergeCell ref="A21:A22"/>
    <mergeCell ref="B25:D25"/>
    <mergeCell ref="I25:J25"/>
    <mergeCell ref="B26:D26"/>
    <mergeCell ref="G29:H29"/>
    <mergeCell ref="E27:F27"/>
    <mergeCell ref="G27:H27"/>
    <mergeCell ref="B21:D22"/>
    <mergeCell ref="E21:L21"/>
    <mergeCell ref="B27:D27"/>
    <mergeCell ref="Q37:R37"/>
    <mergeCell ref="Q38:R38"/>
    <mergeCell ref="M37:N37"/>
    <mergeCell ref="J46:K46"/>
    <mergeCell ref="J45:K45"/>
    <mergeCell ref="K37:L37"/>
    <mergeCell ref="I37:J37"/>
    <mergeCell ref="O24:P24"/>
    <mergeCell ref="M26:N26"/>
    <mergeCell ref="M25:N25"/>
    <mergeCell ref="O25:P25"/>
    <mergeCell ref="Q24:R24"/>
    <mergeCell ref="O27:P27"/>
    <mergeCell ref="M24:N24"/>
    <mergeCell ref="O26:P26"/>
    <mergeCell ref="S29:T29"/>
    <mergeCell ref="Q25:R25"/>
    <mergeCell ref="S25:T25"/>
    <mergeCell ref="Q26:R26"/>
    <mergeCell ref="Q27:R27"/>
    <mergeCell ref="S26:T26"/>
    <mergeCell ref="S27:T27"/>
    <mergeCell ref="Q28:R28"/>
    <mergeCell ref="Q29:R29"/>
    <mergeCell ref="Q31:R31"/>
    <mergeCell ref="S31:T31"/>
    <mergeCell ref="K31:L31"/>
    <mergeCell ref="G36:H36"/>
    <mergeCell ref="S28:T28"/>
    <mergeCell ref="M28:N28"/>
    <mergeCell ref="O28:P28"/>
    <mergeCell ref="Q30:R30"/>
    <mergeCell ref="Q35:R36"/>
    <mergeCell ref="E35:J35"/>
    <mergeCell ref="P56:S56"/>
    <mergeCell ref="C55:U55"/>
    <mergeCell ref="Q53:S53"/>
    <mergeCell ref="C54:S54"/>
    <mergeCell ref="B38:D38"/>
    <mergeCell ref="K38:L38"/>
    <mergeCell ref="O42:Q42"/>
    <mergeCell ref="J44:K44"/>
    <mergeCell ref="M38:N38"/>
    <mergeCell ref="A41:I41"/>
    <mergeCell ref="A47:T47"/>
    <mergeCell ref="O38:P38"/>
    <mergeCell ref="S30:T30"/>
    <mergeCell ref="I30:J30"/>
    <mergeCell ref="G31:H31"/>
    <mergeCell ref="S35:T35"/>
    <mergeCell ref="I36:J36"/>
    <mergeCell ref="I31:J31"/>
    <mergeCell ref="K30:L30"/>
    <mergeCell ref="M31:N31"/>
    <mergeCell ref="E30:F30"/>
    <mergeCell ref="B33:H33"/>
    <mergeCell ref="G30:H30"/>
    <mergeCell ref="O37:P37"/>
    <mergeCell ref="B35:D36"/>
    <mergeCell ref="B30:D30"/>
    <mergeCell ref="E36:F36"/>
    <mergeCell ref="M36:N36"/>
    <mergeCell ref="O36:P36"/>
    <mergeCell ref="O31:P31"/>
    <mergeCell ref="K35:P35"/>
    <mergeCell ref="K36:L36"/>
    <mergeCell ref="O30:P30"/>
    <mergeCell ref="M30:N30"/>
    <mergeCell ref="G26:H26"/>
    <mergeCell ref="K28:L28"/>
    <mergeCell ref="M29:N29"/>
    <mergeCell ref="I26:J26"/>
    <mergeCell ref="B28:D28"/>
    <mergeCell ref="E28:F28"/>
    <mergeCell ref="I28:J28"/>
    <mergeCell ref="E29:F29"/>
    <mergeCell ref="G38:H38"/>
    <mergeCell ref="I38:J38"/>
    <mergeCell ref="E38:F38"/>
    <mergeCell ref="B37:D37"/>
    <mergeCell ref="E37:F37"/>
    <mergeCell ref="G37:H37"/>
    <mergeCell ref="A42:A43"/>
    <mergeCell ref="B42:D42"/>
    <mergeCell ref="E42:G42"/>
    <mergeCell ref="H42:H43"/>
    <mergeCell ref="J42:K43"/>
    <mergeCell ref="L42:N4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topLeftCell="A16" zoomScale="90" zoomScaleNormal="100" zoomScaleSheetLayoutView="90" workbookViewId="0">
      <selection activeCell="P34" sqref="P34"/>
    </sheetView>
  </sheetViews>
  <sheetFormatPr defaultRowHeight="12.75" x14ac:dyDescent="0.2"/>
  <cols>
    <col min="2" max="2" width="15.7109375" customWidth="1"/>
    <col min="3" max="3" width="15.140625" customWidth="1"/>
    <col min="4" max="4" width="11.7109375" customWidth="1"/>
    <col min="5" max="5" width="12.85546875" customWidth="1"/>
    <col min="6" max="6" width="11.5703125" customWidth="1"/>
    <col min="7" max="8" width="10.42578125" customWidth="1"/>
    <col min="9" max="10" width="10.42578125" style="250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867" t="s">
        <v>0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N1" s="217" t="s">
        <v>511</v>
      </c>
    </row>
    <row r="2" spans="1:14" ht="21" x14ac:dyDescent="0.35">
      <c r="A2" s="868" t="s">
        <v>694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</row>
    <row r="3" spans="1:14" ht="15" x14ac:dyDescent="0.3">
      <c r="A3" s="180"/>
      <c r="B3" s="180"/>
      <c r="C3" s="180"/>
      <c r="D3" s="180"/>
      <c r="E3" s="180"/>
      <c r="F3" s="180"/>
      <c r="G3" s="180"/>
      <c r="H3" s="180"/>
      <c r="I3" s="248"/>
      <c r="J3" s="248"/>
    </row>
    <row r="4" spans="1:14" ht="18" x14ac:dyDescent="0.35">
      <c r="A4" s="997" t="s">
        <v>510</v>
      </c>
      <c r="B4" s="997"/>
      <c r="C4" s="997"/>
      <c r="D4" s="997"/>
      <c r="E4" s="997"/>
      <c r="F4" s="997"/>
      <c r="G4" s="997"/>
      <c r="H4" s="997"/>
      <c r="I4" s="267"/>
      <c r="J4" s="267"/>
    </row>
    <row r="5" spans="1:14" ht="15" x14ac:dyDescent="0.3">
      <c r="A5" s="191" t="s">
        <v>1098</v>
      </c>
      <c r="B5" s="191"/>
      <c r="C5" s="181"/>
      <c r="D5" s="181"/>
      <c r="E5" s="181"/>
      <c r="F5" s="181"/>
      <c r="G5" s="181"/>
      <c r="H5" s="180"/>
      <c r="I5" s="248"/>
      <c r="J5" s="248"/>
      <c r="L5" s="998" t="s">
        <v>772</v>
      </c>
      <c r="M5" s="998"/>
      <c r="N5" s="998"/>
    </row>
    <row r="6" spans="1:14" ht="28.5" customHeight="1" x14ac:dyDescent="0.2">
      <c r="A6" s="959" t="s">
        <v>1</v>
      </c>
      <c r="B6" s="959" t="s">
        <v>33</v>
      </c>
      <c r="C6" s="775" t="s">
        <v>394</v>
      </c>
      <c r="D6" s="771" t="s">
        <v>444</v>
      </c>
      <c r="E6" s="771"/>
      <c r="F6" s="771"/>
      <c r="G6" s="771"/>
      <c r="H6" s="772"/>
      <c r="I6" s="999" t="s">
        <v>536</v>
      </c>
      <c r="J6" s="999" t="s">
        <v>537</v>
      </c>
      <c r="K6" s="964" t="s">
        <v>490</v>
      </c>
      <c r="L6" s="964"/>
      <c r="M6" s="964"/>
      <c r="N6" s="964"/>
    </row>
    <row r="7" spans="1:14" ht="39" customHeight="1" x14ac:dyDescent="0.2">
      <c r="A7" s="960"/>
      <c r="B7" s="960"/>
      <c r="C7" s="775"/>
      <c r="D7" s="5" t="s">
        <v>443</v>
      </c>
      <c r="E7" s="5" t="s">
        <v>395</v>
      </c>
      <c r="F7" s="62" t="s">
        <v>396</v>
      </c>
      <c r="G7" s="5" t="s">
        <v>397</v>
      </c>
      <c r="H7" s="5" t="s">
        <v>43</v>
      </c>
      <c r="I7" s="999"/>
      <c r="J7" s="999"/>
      <c r="K7" s="212" t="s">
        <v>398</v>
      </c>
      <c r="L7" s="25" t="s">
        <v>491</v>
      </c>
      <c r="M7" s="5" t="s">
        <v>399</v>
      </c>
      <c r="N7" s="25" t="s">
        <v>400</v>
      </c>
    </row>
    <row r="8" spans="1:14" ht="15" x14ac:dyDescent="0.2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183" t="s">
        <v>259</v>
      </c>
      <c r="H8" s="183" t="s">
        <v>260</v>
      </c>
      <c r="I8" s="268" t="s">
        <v>279</v>
      </c>
      <c r="J8" s="268" t="s">
        <v>280</v>
      </c>
      <c r="K8" s="183" t="s">
        <v>281</v>
      </c>
      <c r="L8" s="183" t="s">
        <v>309</v>
      </c>
      <c r="M8" s="183" t="s">
        <v>310</v>
      </c>
      <c r="N8" s="183" t="s">
        <v>311</v>
      </c>
    </row>
    <row r="9" spans="1:14" ht="15" x14ac:dyDescent="0.2">
      <c r="A9" s="254">
        <v>1</v>
      </c>
      <c r="B9" s="351" t="s">
        <v>875</v>
      </c>
      <c r="C9" s="660">
        <f>'AT-3'!G9</f>
        <v>2177</v>
      </c>
      <c r="D9" s="660">
        <v>115</v>
      </c>
      <c r="E9" s="660">
        <v>462</v>
      </c>
      <c r="F9" s="660">
        <v>1737</v>
      </c>
      <c r="G9" s="660">
        <v>148</v>
      </c>
      <c r="H9" s="660">
        <v>26</v>
      </c>
      <c r="I9" s="660">
        <f>J9</f>
        <v>2177</v>
      </c>
      <c r="J9" s="660">
        <f>C9</f>
        <v>2177</v>
      </c>
      <c r="K9" s="660">
        <f>J9</f>
        <v>2177</v>
      </c>
      <c r="L9" s="660">
        <v>2177</v>
      </c>
      <c r="M9" s="660">
        <v>2177</v>
      </c>
      <c r="N9" s="660">
        <f>J9</f>
        <v>2177</v>
      </c>
    </row>
    <row r="10" spans="1:14" ht="15" x14ac:dyDescent="0.2">
      <c r="A10" s="254">
        <v>2</v>
      </c>
      <c r="B10" s="351" t="s">
        <v>876</v>
      </c>
      <c r="C10" s="660">
        <f>'AT-3'!G10</f>
        <v>868</v>
      </c>
      <c r="D10" s="660">
        <v>0</v>
      </c>
      <c r="E10" s="660">
        <v>0</v>
      </c>
      <c r="F10" s="660">
        <v>775</v>
      </c>
      <c r="G10" s="660">
        <v>0</v>
      </c>
      <c r="H10" s="660">
        <v>0</v>
      </c>
      <c r="I10" s="660">
        <f t="shared" ref="I10:I32" si="0">J10</f>
        <v>868</v>
      </c>
      <c r="J10" s="660">
        <f t="shared" ref="J10:J32" si="1">C10</f>
        <v>868</v>
      </c>
      <c r="K10" s="660">
        <f t="shared" ref="K10:K32" si="2">J10</f>
        <v>868</v>
      </c>
      <c r="L10" s="660">
        <v>868</v>
      </c>
      <c r="M10" s="660">
        <v>868</v>
      </c>
      <c r="N10" s="660">
        <f t="shared" ref="N10:N32" si="3">J10</f>
        <v>868</v>
      </c>
    </row>
    <row r="11" spans="1:14" ht="15" x14ac:dyDescent="0.2">
      <c r="A11" s="254">
        <v>3</v>
      </c>
      <c r="B11" s="351" t="s">
        <v>877</v>
      </c>
      <c r="C11" s="660">
        <f>'AT-3'!G11</f>
        <v>491</v>
      </c>
      <c r="D11" s="660">
        <v>169</v>
      </c>
      <c r="E11" s="660">
        <v>122</v>
      </c>
      <c r="F11" s="660">
        <v>201</v>
      </c>
      <c r="G11" s="660">
        <v>0</v>
      </c>
      <c r="H11" s="660">
        <v>0</v>
      </c>
      <c r="I11" s="660">
        <f t="shared" si="0"/>
        <v>491</v>
      </c>
      <c r="J11" s="660">
        <f t="shared" si="1"/>
        <v>491</v>
      </c>
      <c r="K11" s="660">
        <f t="shared" si="2"/>
        <v>491</v>
      </c>
      <c r="L11" s="660">
        <v>491</v>
      </c>
      <c r="M11" s="660">
        <v>491</v>
      </c>
      <c r="N11" s="660">
        <f t="shared" si="3"/>
        <v>491</v>
      </c>
    </row>
    <row r="12" spans="1:14" ht="15" x14ac:dyDescent="0.2">
      <c r="A12" s="254">
        <v>4</v>
      </c>
      <c r="B12" s="351" t="s">
        <v>878</v>
      </c>
      <c r="C12" s="660">
        <f>'AT-3'!G12</f>
        <v>1519</v>
      </c>
      <c r="D12" s="660">
        <v>0</v>
      </c>
      <c r="E12" s="660">
        <v>0</v>
      </c>
      <c r="F12" s="660">
        <v>1543</v>
      </c>
      <c r="G12" s="660">
        <v>154</v>
      </c>
      <c r="H12" s="660">
        <v>0</v>
      </c>
      <c r="I12" s="660">
        <f t="shared" si="0"/>
        <v>1519</v>
      </c>
      <c r="J12" s="660">
        <f t="shared" si="1"/>
        <v>1519</v>
      </c>
      <c r="K12" s="660">
        <f t="shared" si="2"/>
        <v>1519</v>
      </c>
      <c r="L12" s="660">
        <v>1519</v>
      </c>
      <c r="M12" s="660">
        <v>1519</v>
      </c>
      <c r="N12" s="660">
        <f t="shared" si="3"/>
        <v>1519</v>
      </c>
    </row>
    <row r="13" spans="1:14" ht="15" x14ac:dyDescent="0.2">
      <c r="A13" s="254">
        <v>5</v>
      </c>
      <c r="B13" s="351" t="s">
        <v>879</v>
      </c>
      <c r="C13" s="660">
        <f>'AT-3'!G13</f>
        <v>968</v>
      </c>
      <c r="D13" s="660">
        <v>0</v>
      </c>
      <c r="E13" s="660">
        <v>0</v>
      </c>
      <c r="F13" s="660">
        <f>C13-H13</f>
        <v>905</v>
      </c>
      <c r="G13" s="660">
        <v>0</v>
      </c>
      <c r="H13" s="660">
        <v>63</v>
      </c>
      <c r="I13" s="660">
        <f t="shared" si="0"/>
        <v>968</v>
      </c>
      <c r="J13" s="660">
        <f t="shared" si="1"/>
        <v>968</v>
      </c>
      <c r="K13" s="660">
        <f t="shared" si="2"/>
        <v>968</v>
      </c>
      <c r="L13" s="660">
        <v>968</v>
      </c>
      <c r="M13" s="660">
        <v>968</v>
      </c>
      <c r="N13" s="660">
        <f t="shared" si="3"/>
        <v>968</v>
      </c>
    </row>
    <row r="14" spans="1:14" ht="15" x14ac:dyDescent="0.2">
      <c r="A14" s="254">
        <v>6</v>
      </c>
      <c r="B14" s="351" t="s">
        <v>880</v>
      </c>
      <c r="C14" s="660">
        <f>'AT-3'!G14</f>
        <v>1620</v>
      </c>
      <c r="D14" s="660">
        <v>0</v>
      </c>
      <c r="E14" s="660">
        <v>0</v>
      </c>
      <c r="F14" s="660">
        <f>C14-H14</f>
        <v>1492</v>
      </c>
      <c r="G14" s="660">
        <v>0</v>
      </c>
      <c r="H14" s="660">
        <v>128</v>
      </c>
      <c r="I14" s="660">
        <f t="shared" si="0"/>
        <v>1620</v>
      </c>
      <c r="J14" s="660">
        <f t="shared" si="1"/>
        <v>1620</v>
      </c>
      <c r="K14" s="660">
        <f t="shared" si="2"/>
        <v>1620</v>
      </c>
      <c r="L14" s="660">
        <v>1620</v>
      </c>
      <c r="M14" s="660">
        <v>1620</v>
      </c>
      <c r="N14" s="660">
        <f t="shared" si="3"/>
        <v>1620</v>
      </c>
    </row>
    <row r="15" spans="1:14" ht="15" x14ac:dyDescent="0.2">
      <c r="A15" s="254">
        <v>7</v>
      </c>
      <c r="B15" s="351" t="s">
        <v>923</v>
      </c>
      <c r="C15" s="660">
        <f>'AT-3'!G15</f>
        <v>1381</v>
      </c>
      <c r="D15" s="660">
        <v>0</v>
      </c>
      <c r="E15" s="660">
        <v>0</v>
      </c>
      <c r="F15" s="660">
        <f>C15-H15</f>
        <v>1381</v>
      </c>
      <c r="G15" s="660">
        <v>0</v>
      </c>
      <c r="H15" s="660">
        <v>0</v>
      </c>
      <c r="I15" s="660">
        <f t="shared" si="0"/>
        <v>1381</v>
      </c>
      <c r="J15" s="660">
        <f t="shared" si="1"/>
        <v>1381</v>
      </c>
      <c r="K15" s="660">
        <f t="shared" si="2"/>
        <v>1381</v>
      </c>
      <c r="L15" s="660">
        <v>259</v>
      </c>
      <c r="M15" s="660">
        <v>259</v>
      </c>
      <c r="N15" s="660">
        <f t="shared" si="3"/>
        <v>1381</v>
      </c>
    </row>
    <row r="16" spans="1:14" ht="15" x14ac:dyDescent="0.2">
      <c r="A16" s="254">
        <v>8</v>
      </c>
      <c r="B16" s="351" t="s">
        <v>882</v>
      </c>
      <c r="C16" s="660">
        <f>'AT-3'!G16</f>
        <v>2066</v>
      </c>
      <c r="D16" s="660">
        <v>29</v>
      </c>
      <c r="E16" s="660">
        <v>156</v>
      </c>
      <c r="F16" s="660">
        <v>1770</v>
      </c>
      <c r="G16" s="660">
        <v>30</v>
      </c>
      <c r="H16" s="660">
        <v>81</v>
      </c>
      <c r="I16" s="660">
        <f t="shared" si="0"/>
        <v>2066</v>
      </c>
      <c r="J16" s="660">
        <f t="shared" si="1"/>
        <v>2066</v>
      </c>
      <c r="K16" s="660">
        <f t="shared" si="2"/>
        <v>2066</v>
      </c>
      <c r="L16" s="660">
        <v>1647</v>
      </c>
      <c r="M16" s="660">
        <v>1556</v>
      </c>
      <c r="N16" s="660">
        <f t="shared" si="3"/>
        <v>2066</v>
      </c>
    </row>
    <row r="17" spans="1:15" ht="15" x14ac:dyDescent="0.2">
      <c r="A17" s="254">
        <v>9</v>
      </c>
      <c r="B17" s="351" t="s">
        <v>883</v>
      </c>
      <c r="C17" s="660">
        <f>'AT-3'!G17</f>
        <v>2499</v>
      </c>
      <c r="D17" s="660">
        <v>0</v>
      </c>
      <c r="E17" s="660">
        <v>0</v>
      </c>
      <c r="F17" s="660">
        <v>2499</v>
      </c>
      <c r="G17" s="660">
        <v>0</v>
      </c>
      <c r="H17" s="660">
        <v>0</v>
      </c>
      <c r="I17" s="660">
        <f t="shared" si="0"/>
        <v>2499</v>
      </c>
      <c r="J17" s="660">
        <f t="shared" si="1"/>
        <v>2499</v>
      </c>
      <c r="K17" s="660">
        <f t="shared" si="2"/>
        <v>2499</v>
      </c>
      <c r="L17" s="660">
        <v>1989</v>
      </c>
      <c r="M17" s="660">
        <v>2099</v>
      </c>
      <c r="N17" s="660">
        <f t="shared" si="3"/>
        <v>2499</v>
      </c>
    </row>
    <row r="18" spans="1:15" ht="15" x14ac:dyDescent="0.2">
      <c r="A18" s="254">
        <v>10</v>
      </c>
      <c r="B18" s="351" t="s">
        <v>884</v>
      </c>
      <c r="C18" s="660">
        <f>'AT-3'!G18</f>
        <v>1037</v>
      </c>
      <c r="D18" s="660">
        <v>9</v>
      </c>
      <c r="E18" s="660">
        <v>2</v>
      </c>
      <c r="F18" s="660">
        <f>C18-D18-E18-G18-H18</f>
        <v>997</v>
      </c>
      <c r="G18" s="660">
        <v>24</v>
      </c>
      <c r="H18" s="660">
        <v>5</v>
      </c>
      <c r="I18" s="660">
        <f t="shared" si="0"/>
        <v>1037</v>
      </c>
      <c r="J18" s="660">
        <f t="shared" si="1"/>
        <v>1037</v>
      </c>
      <c r="K18" s="660">
        <f t="shared" si="2"/>
        <v>1037</v>
      </c>
      <c r="L18" s="660">
        <v>1037</v>
      </c>
      <c r="M18" s="660">
        <v>1037</v>
      </c>
      <c r="N18" s="660">
        <f t="shared" si="3"/>
        <v>1037</v>
      </c>
    </row>
    <row r="19" spans="1:15" ht="15" x14ac:dyDescent="0.2">
      <c r="A19" s="254">
        <v>11</v>
      </c>
      <c r="B19" s="351" t="s">
        <v>885</v>
      </c>
      <c r="C19" s="660">
        <f>'AT-3'!G19</f>
        <v>1420</v>
      </c>
      <c r="D19" s="660">
        <v>0</v>
      </c>
      <c r="E19" s="660">
        <v>0</v>
      </c>
      <c r="F19" s="660">
        <v>1420</v>
      </c>
      <c r="G19" s="660">
        <v>0</v>
      </c>
      <c r="H19" s="660">
        <v>0</v>
      </c>
      <c r="I19" s="660">
        <f t="shared" si="0"/>
        <v>1420</v>
      </c>
      <c r="J19" s="660">
        <f t="shared" si="1"/>
        <v>1420</v>
      </c>
      <c r="K19" s="660">
        <f t="shared" si="2"/>
        <v>1420</v>
      </c>
      <c r="L19" s="660">
        <v>1420</v>
      </c>
      <c r="M19" s="660">
        <v>1420</v>
      </c>
      <c r="N19" s="660">
        <f t="shared" si="3"/>
        <v>1420</v>
      </c>
    </row>
    <row r="20" spans="1:15" ht="15" x14ac:dyDescent="0.2">
      <c r="A20" s="254">
        <v>12</v>
      </c>
      <c r="B20" s="351" t="s">
        <v>886</v>
      </c>
      <c r="C20" s="660">
        <f>'AT-3'!G20</f>
        <v>1479</v>
      </c>
      <c r="D20" s="660">
        <v>118</v>
      </c>
      <c r="E20" s="660">
        <v>373</v>
      </c>
      <c r="F20" s="660">
        <f>C20-D20-E20</f>
        <v>988</v>
      </c>
      <c r="G20" s="660">
        <v>0</v>
      </c>
      <c r="H20" s="660">
        <v>0</v>
      </c>
      <c r="I20" s="660">
        <f t="shared" si="0"/>
        <v>1479</v>
      </c>
      <c r="J20" s="660">
        <f t="shared" si="1"/>
        <v>1479</v>
      </c>
      <c r="K20" s="660">
        <f t="shared" si="2"/>
        <v>1479</v>
      </c>
      <c r="L20" s="660">
        <v>1479</v>
      </c>
      <c r="M20" s="660">
        <v>1479</v>
      </c>
      <c r="N20" s="660">
        <f t="shared" si="3"/>
        <v>1479</v>
      </c>
    </row>
    <row r="21" spans="1:15" ht="15" x14ac:dyDescent="0.2">
      <c r="A21" s="254">
        <v>13</v>
      </c>
      <c r="B21" s="351" t="s">
        <v>887</v>
      </c>
      <c r="C21" s="660">
        <f>'AT-3'!G21</f>
        <v>587</v>
      </c>
      <c r="D21" s="660">
        <v>0</v>
      </c>
      <c r="E21" s="660">
        <v>24</v>
      </c>
      <c r="F21" s="660">
        <f>587-E21</f>
        <v>563</v>
      </c>
      <c r="G21" s="660">
        <v>0</v>
      </c>
      <c r="H21" s="660">
        <v>0</v>
      </c>
      <c r="I21" s="660">
        <f t="shared" si="0"/>
        <v>587</v>
      </c>
      <c r="J21" s="660">
        <f t="shared" si="1"/>
        <v>587</v>
      </c>
      <c r="K21" s="660">
        <f t="shared" si="2"/>
        <v>587</v>
      </c>
      <c r="L21" s="660">
        <v>587</v>
      </c>
      <c r="M21" s="660">
        <v>587</v>
      </c>
      <c r="N21" s="660">
        <f t="shared" si="3"/>
        <v>587</v>
      </c>
    </row>
    <row r="22" spans="1:15" ht="15" x14ac:dyDescent="0.2">
      <c r="A22" s="254">
        <v>14</v>
      </c>
      <c r="B22" s="351" t="s">
        <v>888</v>
      </c>
      <c r="C22" s="660">
        <f>'AT-3'!G22</f>
        <v>659</v>
      </c>
      <c r="D22" s="660">
        <v>181</v>
      </c>
      <c r="E22" s="660">
        <v>312</v>
      </c>
      <c r="F22" s="660">
        <f>C22-D22-E22</f>
        <v>166</v>
      </c>
      <c r="G22" s="660">
        <v>0</v>
      </c>
      <c r="H22" s="660">
        <v>0</v>
      </c>
      <c r="I22" s="660">
        <f t="shared" si="0"/>
        <v>659</v>
      </c>
      <c r="J22" s="660">
        <f t="shared" si="1"/>
        <v>659</v>
      </c>
      <c r="K22" s="660">
        <f t="shared" si="2"/>
        <v>659</v>
      </c>
      <c r="L22" s="660">
        <v>659</v>
      </c>
      <c r="M22" s="660">
        <v>659</v>
      </c>
      <c r="N22" s="660">
        <f t="shared" si="3"/>
        <v>659</v>
      </c>
    </row>
    <row r="23" spans="1:15" ht="15" x14ac:dyDescent="0.2">
      <c r="A23" s="254">
        <v>15</v>
      </c>
      <c r="B23" s="351" t="s">
        <v>924</v>
      </c>
      <c r="C23" s="660">
        <f>'AT-3'!G23</f>
        <v>1539</v>
      </c>
      <c r="D23" s="660">
        <v>0</v>
      </c>
      <c r="E23" s="660">
        <v>0</v>
      </c>
      <c r="F23" s="660">
        <v>1539</v>
      </c>
      <c r="G23" s="660">
        <v>0</v>
      </c>
      <c r="H23" s="660">
        <v>0</v>
      </c>
      <c r="I23" s="660">
        <f t="shared" si="0"/>
        <v>1539</v>
      </c>
      <c r="J23" s="660">
        <f t="shared" si="1"/>
        <v>1539</v>
      </c>
      <c r="K23" s="660">
        <f t="shared" si="2"/>
        <v>1539</v>
      </c>
      <c r="L23" s="660">
        <v>1539</v>
      </c>
      <c r="M23" s="660">
        <v>1539</v>
      </c>
      <c r="N23" s="660">
        <f t="shared" si="3"/>
        <v>1539</v>
      </c>
    </row>
    <row r="24" spans="1:15" ht="15" x14ac:dyDescent="0.2">
      <c r="A24" s="254">
        <v>16</v>
      </c>
      <c r="B24" s="351" t="s">
        <v>890</v>
      </c>
      <c r="C24" s="660">
        <f>'AT-3'!G24</f>
        <v>3136</v>
      </c>
      <c r="D24" s="660">
        <v>3</v>
      </c>
      <c r="E24" s="660">
        <v>0</v>
      </c>
      <c r="F24" s="660">
        <f>C24-D24-E24-G24</f>
        <v>3092</v>
      </c>
      <c r="G24" s="660">
        <v>41</v>
      </c>
      <c r="H24" s="660">
        <v>0</v>
      </c>
      <c r="I24" s="660">
        <f t="shared" si="0"/>
        <v>3136</v>
      </c>
      <c r="J24" s="660">
        <f t="shared" si="1"/>
        <v>3136</v>
      </c>
      <c r="K24" s="660">
        <f t="shared" si="2"/>
        <v>3136</v>
      </c>
      <c r="L24" s="660">
        <v>3136</v>
      </c>
      <c r="M24" s="660">
        <v>3136</v>
      </c>
      <c r="N24" s="660">
        <f t="shared" si="3"/>
        <v>3136</v>
      </c>
    </row>
    <row r="25" spans="1:15" ht="15" x14ac:dyDescent="0.2">
      <c r="A25" s="254">
        <v>17</v>
      </c>
      <c r="B25" s="351" t="s">
        <v>891</v>
      </c>
      <c r="C25" s="660">
        <f>'AT-3'!G25</f>
        <v>1694</v>
      </c>
      <c r="D25" s="660">
        <v>5</v>
      </c>
      <c r="E25" s="660">
        <v>91</v>
      </c>
      <c r="F25" s="660">
        <f>C25-D25-E25-G25-H25</f>
        <v>1382</v>
      </c>
      <c r="G25" s="660">
        <v>27</v>
      </c>
      <c r="H25" s="660">
        <v>189</v>
      </c>
      <c r="I25" s="660">
        <f t="shared" si="0"/>
        <v>1694</v>
      </c>
      <c r="J25" s="660">
        <f t="shared" si="1"/>
        <v>1694</v>
      </c>
      <c r="K25" s="660">
        <f t="shared" si="2"/>
        <v>1694</v>
      </c>
      <c r="L25" s="660">
        <v>1694</v>
      </c>
      <c r="M25" s="660">
        <v>1694</v>
      </c>
      <c r="N25" s="660">
        <f t="shared" si="3"/>
        <v>1694</v>
      </c>
    </row>
    <row r="26" spans="1:15" ht="15" x14ac:dyDescent="0.2">
      <c r="A26" s="254">
        <v>18</v>
      </c>
      <c r="B26" s="351" t="s">
        <v>892</v>
      </c>
      <c r="C26" s="660">
        <f>'AT-3'!G26</f>
        <v>1522</v>
      </c>
      <c r="D26" s="660">
        <v>45</v>
      </c>
      <c r="E26" s="660">
        <v>25</v>
      </c>
      <c r="F26" s="660">
        <v>1380</v>
      </c>
      <c r="G26" s="660">
        <v>38</v>
      </c>
      <c r="H26" s="660">
        <v>34</v>
      </c>
      <c r="I26" s="660">
        <f t="shared" si="0"/>
        <v>1522</v>
      </c>
      <c r="J26" s="660">
        <f t="shared" si="1"/>
        <v>1522</v>
      </c>
      <c r="K26" s="660">
        <f t="shared" si="2"/>
        <v>1522</v>
      </c>
      <c r="L26" s="660">
        <v>1522</v>
      </c>
      <c r="M26" s="660">
        <v>1522</v>
      </c>
      <c r="N26" s="660">
        <f t="shared" si="3"/>
        <v>1522</v>
      </c>
    </row>
    <row r="27" spans="1:15" ht="15" x14ac:dyDescent="0.2">
      <c r="A27" s="254">
        <v>19</v>
      </c>
      <c r="B27" s="351" t="s">
        <v>893</v>
      </c>
      <c r="C27" s="660">
        <f>'AT-3'!G27</f>
        <v>2314</v>
      </c>
      <c r="D27" s="660">
        <v>0</v>
      </c>
      <c r="E27" s="660">
        <v>313</v>
      </c>
      <c r="F27" s="660">
        <f>C27-E27</f>
        <v>2001</v>
      </c>
      <c r="G27" s="660">
        <v>0</v>
      </c>
      <c r="H27" s="660">
        <v>0</v>
      </c>
      <c r="I27" s="660">
        <f t="shared" si="0"/>
        <v>2314</v>
      </c>
      <c r="J27" s="660">
        <f t="shared" si="1"/>
        <v>2314</v>
      </c>
      <c r="K27" s="660">
        <f t="shared" si="2"/>
        <v>2314</v>
      </c>
      <c r="L27" s="660">
        <v>2314</v>
      </c>
      <c r="M27" s="660">
        <v>2314</v>
      </c>
      <c r="N27" s="660">
        <f t="shared" si="3"/>
        <v>2314</v>
      </c>
    </row>
    <row r="28" spans="1:15" ht="15" x14ac:dyDescent="0.2">
      <c r="A28" s="254">
        <v>20</v>
      </c>
      <c r="B28" s="351" t="s">
        <v>894</v>
      </c>
      <c r="C28" s="660">
        <f>'AT-3'!G28</f>
        <v>1015</v>
      </c>
      <c r="D28" s="660">
        <v>0</v>
      </c>
      <c r="E28" s="660">
        <v>59</v>
      </c>
      <c r="F28" s="660">
        <v>956</v>
      </c>
      <c r="G28" s="660">
        <v>0</v>
      </c>
      <c r="H28" s="660">
        <v>0</v>
      </c>
      <c r="I28" s="660">
        <f t="shared" si="0"/>
        <v>1015</v>
      </c>
      <c r="J28" s="660">
        <f t="shared" si="1"/>
        <v>1015</v>
      </c>
      <c r="K28" s="660">
        <f t="shared" si="2"/>
        <v>1015</v>
      </c>
      <c r="L28" s="660">
        <v>429</v>
      </c>
      <c r="M28" s="660">
        <v>429</v>
      </c>
      <c r="N28" s="660">
        <f t="shared" si="3"/>
        <v>1015</v>
      </c>
    </row>
    <row r="29" spans="1:15" ht="15" x14ac:dyDescent="0.2">
      <c r="A29" s="254">
        <v>21</v>
      </c>
      <c r="B29" s="351" t="s">
        <v>925</v>
      </c>
      <c r="C29" s="660">
        <f>'AT-3'!G29</f>
        <v>1286</v>
      </c>
      <c r="D29" s="660">
        <v>39</v>
      </c>
      <c r="E29" s="660">
        <v>0</v>
      </c>
      <c r="F29" s="660">
        <f>C29-D29-G29</f>
        <v>1140</v>
      </c>
      <c r="G29" s="660">
        <v>107</v>
      </c>
      <c r="H29" s="660">
        <v>0</v>
      </c>
      <c r="I29" s="660">
        <f t="shared" si="0"/>
        <v>1286</v>
      </c>
      <c r="J29" s="660">
        <f t="shared" si="1"/>
        <v>1286</v>
      </c>
      <c r="K29" s="660">
        <f t="shared" si="2"/>
        <v>1286</v>
      </c>
      <c r="L29" s="660">
        <v>1286</v>
      </c>
      <c r="M29" s="660">
        <v>1286</v>
      </c>
      <c r="N29" s="660">
        <f t="shared" si="3"/>
        <v>1286</v>
      </c>
    </row>
    <row r="30" spans="1:15" ht="15" x14ac:dyDescent="0.2">
      <c r="A30" s="254">
        <v>22</v>
      </c>
      <c r="B30" s="351" t="s">
        <v>896</v>
      </c>
      <c r="C30" s="660">
        <f>'AT-3'!G30</f>
        <v>1011</v>
      </c>
      <c r="D30" s="660">
        <v>0</v>
      </c>
      <c r="E30" s="660">
        <v>2</v>
      </c>
      <c r="F30" s="660">
        <v>955</v>
      </c>
      <c r="G30" s="660">
        <v>54</v>
      </c>
      <c r="H30" s="660">
        <v>3</v>
      </c>
      <c r="I30" s="660">
        <f t="shared" si="0"/>
        <v>1011</v>
      </c>
      <c r="J30" s="660">
        <f t="shared" si="1"/>
        <v>1011</v>
      </c>
      <c r="K30" s="660">
        <f t="shared" si="2"/>
        <v>1011</v>
      </c>
      <c r="L30" s="660">
        <v>658</v>
      </c>
      <c r="M30" s="660">
        <v>782</v>
      </c>
      <c r="N30" s="660">
        <f t="shared" si="3"/>
        <v>1011</v>
      </c>
      <c r="O30" s="15" t="s">
        <v>393</v>
      </c>
    </row>
    <row r="31" spans="1:15" ht="15" x14ac:dyDescent="0.2">
      <c r="A31" s="254">
        <v>23</v>
      </c>
      <c r="B31" s="351" t="s">
        <v>926</v>
      </c>
      <c r="C31" s="660">
        <f>'AT-3'!G31</f>
        <v>1540</v>
      </c>
      <c r="D31" s="660">
        <v>0</v>
      </c>
      <c r="E31" s="660">
        <v>0</v>
      </c>
      <c r="F31" s="660">
        <v>1419</v>
      </c>
      <c r="G31" s="660">
        <v>121</v>
      </c>
      <c r="H31" s="660">
        <v>0</v>
      </c>
      <c r="I31" s="660">
        <f t="shared" si="0"/>
        <v>1540</v>
      </c>
      <c r="J31" s="660">
        <f t="shared" si="1"/>
        <v>1540</v>
      </c>
      <c r="K31" s="660">
        <f t="shared" si="2"/>
        <v>1540</v>
      </c>
      <c r="L31" s="660">
        <v>1540</v>
      </c>
      <c r="M31" s="660">
        <v>1540</v>
      </c>
      <c r="N31" s="660">
        <f t="shared" si="3"/>
        <v>1540</v>
      </c>
    </row>
    <row r="32" spans="1:15" ht="15" x14ac:dyDescent="0.2">
      <c r="A32" s="254">
        <v>24</v>
      </c>
      <c r="B32" s="351" t="s">
        <v>898</v>
      </c>
      <c r="C32" s="660">
        <f>'AT-3'!G32</f>
        <v>1945</v>
      </c>
      <c r="D32" s="660">
        <v>0</v>
      </c>
      <c r="E32" s="660">
        <v>313</v>
      </c>
      <c r="F32" s="660">
        <f>C32-E32</f>
        <v>1632</v>
      </c>
      <c r="G32" s="660">
        <v>0</v>
      </c>
      <c r="H32" s="660">
        <v>0</v>
      </c>
      <c r="I32" s="660">
        <f t="shared" si="0"/>
        <v>1945</v>
      </c>
      <c r="J32" s="660">
        <f t="shared" si="1"/>
        <v>1945</v>
      </c>
      <c r="K32" s="660">
        <f t="shared" si="2"/>
        <v>1945</v>
      </c>
      <c r="L32" s="660">
        <v>1945</v>
      </c>
      <c r="M32" s="660">
        <v>1945</v>
      </c>
      <c r="N32" s="660">
        <f t="shared" si="3"/>
        <v>1945</v>
      </c>
    </row>
    <row r="33" spans="1:15" s="14" customFormat="1" x14ac:dyDescent="0.2">
      <c r="A33" s="733" t="s">
        <v>15</v>
      </c>
      <c r="B33" s="735"/>
      <c r="C33" s="324">
        <f t="shared" ref="C33:H33" si="4">SUM(C9:C32)</f>
        <v>35773</v>
      </c>
      <c r="D33" s="324">
        <f t="shared" si="4"/>
        <v>713</v>
      </c>
      <c r="E33" s="324">
        <f t="shared" si="4"/>
        <v>2254</v>
      </c>
      <c r="F33" s="324">
        <f t="shared" si="4"/>
        <v>31933</v>
      </c>
      <c r="G33" s="324">
        <f t="shared" si="4"/>
        <v>744</v>
      </c>
      <c r="H33" s="324">
        <f t="shared" si="4"/>
        <v>529</v>
      </c>
      <c r="I33" s="659">
        <f t="shared" ref="I33:N33" si="5">SUM(I9:I32)</f>
        <v>35773</v>
      </c>
      <c r="J33" s="659">
        <f t="shared" si="5"/>
        <v>35773</v>
      </c>
      <c r="K33" s="324">
        <f t="shared" si="5"/>
        <v>35773</v>
      </c>
      <c r="L33" s="324">
        <f t="shared" si="5"/>
        <v>32783</v>
      </c>
      <c r="M33" s="324">
        <f t="shared" si="5"/>
        <v>32926</v>
      </c>
      <c r="N33" s="343">
        <f t="shared" si="5"/>
        <v>35773</v>
      </c>
    </row>
    <row r="34" spans="1:15" s="14" customFormat="1" x14ac:dyDescent="0.2">
      <c r="A34" s="11"/>
      <c r="B34" s="11"/>
      <c r="C34" s="11"/>
      <c r="D34" s="16"/>
      <c r="E34" s="16"/>
      <c r="F34" s="16"/>
      <c r="G34" s="16"/>
      <c r="H34" s="575"/>
      <c r="I34" s="576"/>
      <c r="J34" s="576"/>
      <c r="K34" s="576"/>
      <c r="L34" s="576"/>
      <c r="M34" s="11"/>
      <c r="N34" s="574"/>
    </row>
    <row r="35" spans="1:15" s="14" customFormat="1" x14ac:dyDescent="0.2">
      <c r="A35" s="11"/>
      <c r="B35" s="11"/>
      <c r="C35" s="11"/>
      <c r="D35" s="16"/>
      <c r="E35" s="16"/>
      <c r="F35" s="16"/>
      <c r="G35" s="16"/>
      <c r="H35" s="575"/>
      <c r="I35" s="576"/>
      <c r="J35" s="576"/>
      <c r="K35" s="576"/>
      <c r="L35" s="576"/>
      <c r="M35" s="11"/>
      <c r="N35" s="574"/>
    </row>
    <row r="36" spans="1:15" s="14" customFormat="1" x14ac:dyDescent="0.2">
      <c r="A36" s="186"/>
      <c r="B36" s="186"/>
      <c r="C36" s="186"/>
      <c r="D36" s="186"/>
      <c r="E36" s="669"/>
      <c r="F36" s="669"/>
      <c r="G36" s="669"/>
      <c r="H36" s="865" t="s">
        <v>1107</v>
      </c>
      <c r="I36" s="865"/>
      <c r="J36" s="865"/>
      <c r="K36" s="865"/>
      <c r="L36" s="865"/>
      <c r="M36" s="152"/>
      <c r="N36" s="152"/>
      <c r="O36" s="152"/>
    </row>
    <row r="37" spans="1:15" ht="12.75" customHeight="1" x14ac:dyDescent="0.2">
      <c r="A37" s="186"/>
      <c r="B37" s="186"/>
      <c r="C37" s="186"/>
      <c r="D37" s="186"/>
      <c r="E37" s="669"/>
      <c r="F37" s="669"/>
      <c r="G37" s="669"/>
      <c r="H37" s="865" t="s">
        <v>1108</v>
      </c>
      <c r="I37" s="865"/>
      <c r="J37" s="865"/>
      <c r="K37" s="865"/>
      <c r="L37" s="865"/>
      <c r="M37" s="152"/>
      <c r="N37" s="152"/>
      <c r="O37" s="152"/>
    </row>
    <row r="38" spans="1:15" ht="13.15" customHeight="1" x14ac:dyDescent="0.2">
      <c r="A38" s="1000" t="s">
        <v>1113</v>
      </c>
      <c r="B38" s="1000"/>
      <c r="C38" s="1000"/>
      <c r="D38" s="1000"/>
      <c r="E38" s="1000"/>
      <c r="F38" s="1000"/>
      <c r="G38" s="1000"/>
      <c r="H38" s="1000"/>
      <c r="I38" s="1000"/>
      <c r="J38" s="1000"/>
      <c r="K38" s="1000"/>
      <c r="L38" s="201"/>
      <c r="M38" s="201"/>
      <c r="N38" s="201"/>
      <c r="O38" s="152"/>
    </row>
    <row r="39" spans="1:15" ht="12.75" customHeight="1" x14ac:dyDescent="0.2">
      <c r="A39" s="186" t="s">
        <v>11</v>
      </c>
      <c r="B39" s="669"/>
      <c r="C39" s="186"/>
      <c r="D39" s="186"/>
      <c r="E39" s="669"/>
      <c r="F39" s="669"/>
      <c r="G39" s="669"/>
      <c r="H39" s="669"/>
      <c r="I39" s="669"/>
      <c r="J39" s="669"/>
      <c r="K39" s="188" t="s">
        <v>1110</v>
      </c>
      <c r="L39" s="669"/>
      <c r="M39" s="152"/>
      <c r="N39" s="152"/>
      <c r="O39" s="152"/>
    </row>
  </sheetData>
  <mergeCells count="15">
    <mergeCell ref="H36:L36"/>
    <mergeCell ref="H37:L37"/>
    <mergeCell ref="A33:B33"/>
    <mergeCell ref="C6:C7"/>
    <mergeCell ref="A38:K38"/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D6:H6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topLeftCell="A16" zoomScale="85" zoomScaleNormal="100" zoomScaleSheetLayoutView="85" workbookViewId="0">
      <selection activeCell="A37" sqref="A37:H40"/>
    </sheetView>
  </sheetViews>
  <sheetFormatPr defaultRowHeight="12.75" x14ac:dyDescent="0.2"/>
  <cols>
    <col min="1" max="1" width="8.28515625" customWidth="1"/>
    <col min="2" max="2" width="40.285156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867" t="s">
        <v>0</v>
      </c>
      <c r="B1" s="867"/>
      <c r="C1" s="867"/>
      <c r="D1" s="867"/>
      <c r="E1" s="867"/>
      <c r="F1" s="867"/>
      <c r="G1" s="867"/>
      <c r="H1" s="217" t="s">
        <v>513</v>
      </c>
    </row>
    <row r="2" spans="1:8" ht="21" x14ac:dyDescent="0.35">
      <c r="A2" s="868" t="s">
        <v>694</v>
      </c>
      <c r="B2" s="868"/>
      <c r="C2" s="868"/>
      <c r="D2" s="868"/>
      <c r="E2" s="868"/>
      <c r="F2" s="868"/>
      <c r="G2" s="868"/>
    </row>
    <row r="3" spans="1:8" ht="15" x14ac:dyDescent="0.3">
      <c r="A3" s="180"/>
      <c r="B3" s="180"/>
      <c r="C3" s="180"/>
      <c r="D3" s="180"/>
      <c r="E3" s="180"/>
      <c r="F3" s="180"/>
      <c r="G3" s="180"/>
    </row>
    <row r="4" spans="1:8" ht="18" x14ac:dyDescent="0.35">
      <c r="A4" s="867" t="s">
        <v>512</v>
      </c>
      <c r="B4" s="867"/>
      <c r="C4" s="867"/>
      <c r="D4" s="867"/>
      <c r="E4" s="867"/>
      <c r="F4" s="867"/>
      <c r="G4" s="867"/>
    </row>
    <row r="5" spans="1:8" ht="15" x14ac:dyDescent="0.3">
      <c r="A5" s="191" t="s">
        <v>1098</v>
      </c>
      <c r="B5" s="191"/>
      <c r="C5" s="181"/>
      <c r="D5" s="181"/>
      <c r="E5" s="181"/>
      <c r="F5" s="181"/>
      <c r="G5" s="1004" t="s">
        <v>772</v>
      </c>
      <c r="H5" s="1004"/>
    </row>
    <row r="6" spans="1:8" ht="21.75" customHeight="1" x14ac:dyDescent="0.2">
      <c r="A6" s="964" t="s">
        <v>1</v>
      </c>
      <c r="B6" s="964" t="s">
        <v>492</v>
      </c>
      <c r="C6" s="775" t="s">
        <v>33</v>
      </c>
      <c r="D6" s="775" t="s">
        <v>497</v>
      </c>
      <c r="E6" s="775"/>
      <c r="F6" s="775" t="s">
        <v>498</v>
      </c>
      <c r="G6" s="775"/>
      <c r="H6" s="964" t="s">
        <v>218</v>
      </c>
    </row>
    <row r="7" spans="1:8" ht="25.5" customHeight="1" x14ac:dyDescent="0.2">
      <c r="A7" s="964"/>
      <c r="B7" s="964"/>
      <c r="C7" s="775"/>
      <c r="D7" s="5" t="s">
        <v>493</v>
      </c>
      <c r="E7" s="5" t="s">
        <v>494</v>
      </c>
      <c r="F7" s="62" t="s">
        <v>495</v>
      </c>
      <c r="G7" s="5" t="s">
        <v>496</v>
      </c>
      <c r="H7" s="964"/>
    </row>
    <row r="8" spans="1:8" ht="15" x14ac:dyDescent="0.2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183" t="s">
        <v>259</v>
      </c>
      <c r="H8" s="183">
        <v>8</v>
      </c>
    </row>
    <row r="9" spans="1:8" ht="15" x14ac:dyDescent="0.2">
      <c r="A9" s="254">
        <v>1</v>
      </c>
      <c r="B9" s="1001" t="s">
        <v>1060</v>
      </c>
      <c r="C9" s="539" t="s">
        <v>875</v>
      </c>
      <c r="D9" s="183">
        <v>5</v>
      </c>
      <c r="E9" s="183">
        <v>5</v>
      </c>
      <c r="F9" s="183" t="s">
        <v>939</v>
      </c>
      <c r="G9" s="183"/>
      <c r="H9" s="183"/>
    </row>
    <row r="10" spans="1:8" ht="15" x14ac:dyDescent="0.2">
      <c r="A10" s="254">
        <v>2</v>
      </c>
      <c r="B10" s="1002"/>
      <c r="C10" s="351" t="s">
        <v>876</v>
      </c>
      <c r="D10" s="183"/>
      <c r="E10" s="183"/>
      <c r="F10" s="183"/>
      <c r="G10" s="183"/>
      <c r="H10" s="183"/>
    </row>
    <row r="11" spans="1:8" ht="15" x14ac:dyDescent="0.2">
      <c r="A11" s="254">
        <v>3</v>
      </c>
      <c r="B11" s="1002"/>
      <c r="C11" s="351" t="s">
        <v>877</v>
      </c>
      <c r="D11" s="183">
        <v>2</v>
      </c>
      <c r="E11" s="183">
        <v>2</v>
      </c>
      <c r="F11" s="183" t="s">
        <v>939</v>
      </c>
      <c r="G11" s="183"/>
      <c r="H11" s="183"/>
    </row>
    <row r="12" spans="1:8" ht="15" x14ac:dyDescent="0.2">
      <c r="A12" s="254">
        <v>4</v>
      </c>
      <c r="B12" s="1002"/>
      <c r="C12" s="351" t="s">
        <v>878</v>
      </c>
      <c r="D12" s="183">
        <v>2</v>
      </c>
      <c r="E12" s="183"/>
      <c r="F12" s="183"/>
      <c r="G12" s="183"/>
      <c r="H12" s="183"/>
    </row>
    <row r="13" spans="1:8" ht="15" x14ac:dyDescent="0.2">
      <c r="A13" s="254">
        <v>5</v>
      </c>
      <c r="B13" s="1002"/>
      <c r="C13" s="351" t="s">
        <v>879</v>
      </c>
      <c r="D13" s="183">
        <v>2</v>
      </c>
      <c r="E13" s="183"/>
      <c r="F13" s="183"/>
      <c r="G13" s="183"/>
      <c r="H13" s="183"/>
    </row>
    <row r="14" spans="1:8" ht="15" x14ac:dyDescent="0.2">
      <c r="A14" s="254">
        <v>6</v>
      </c>
      <c r="B14" s="1002"/>
      <c r="C14" s="351" t="s">
        <v>880</v>
      </c>
      <c r="D14" s="183">
        <v>2</v>
      </c>
      <c r="E14" s="183">
        <v>1</v>
      </c>
      <c r="F14" s="183" t="s">
        <v>939</v>
      </c>
      <c r="G14" s="183"/>
      <c r="H14" s="183"/>
    </row>
    <row r="15" spans="1:8" ht="15" x14ac:dyDescent="0.2">
      <c r="A15" s="254">
        <v>7</v>
      </c>
      <c r="B15" s="1002"/>
      <c r="C15" s="351" t="s">
        <v>923</v>
      </c>
      <c r="D15" s="183"/>
      <c r="E15" s="183"/>
      <c r="F15" s="183"/>
      <c r="G15" s="183"/>
      <c r="H15" s="183"/>
    </row>
    <row r="16" spans="1:8" ht="15" x14ac:dyDescent="0.2">
      <c r="A16" s="254">
        <v>8</v>
      </c>
      <c r="B16" s="1002"/>
      <c r="C16" s="351" t="s">
        <v>882</v>
      </c>
      <c r="D16" s="183"/>
      <c r="E16" s="183"/>
      <c r="F16" s="183"/>
      <c r="G16" s="183"/>
      <c r="H16" s="183"/>
    </row>
    <row r="17" spans="1:9" ht="15" x14ac:dyDescent="0.2">
      <c r="A17" s="254">
        <v>9</v>
      </c>
      <c r="B17" s="1002"/>
      <c r="C17" s="351" t="s">
        <v>883</v>
      </c>
      <c r="D17" s="183">
        <v>2</v>
      </c>
      <c r="E17" s="183"/>
      <c r="F17" s="183"/>
      <c r="G17" s="183"/>
      <c r="H17" s="183"/>
    </row>
    <row r="18" spans="1:9" ht="15" x14ac:dyDescent="0.2">
      <c r="A18" s="254">
        <v>10</v>
      </c>
      <c r="B18" s="1002"/>
      <c r="C18" s="351" t="s">
        <v>884</v>
      </c>
      <c r="D18" s="183">
        <v>2</v>
      </c>
      <c r="E18" s="183"/>
      <c r="F18" s="183"/>
      <c r="G18" s="183"/>
      <c r="H18" s="183"/>
    </row>
    <row r="19" spans="1:9" ht="15" x14ac:dyDescent="0.2">
      <c r="A19" s="254">
        <v>11</v>
      </c>
      <c r="B19" s="1002"/>
      <c r="C19" s="351" t="s">
        <v>885</v>
      </c>
      <c r="D19" s="183"/>
      <c r="E19" s="183"/>
      <c r="F19" s="183"/>
      <c r="G19" s="183"/>
      <c r="H19" s="183"/>
    </row>
    <row r="20" spans="1:9" ht="15" x14ac:dyDescent="0.2">
      <c r="A20" s="254">
        <v>12</v>
      </c>
      <c r="B20" s="1002"/>
      <c r="C20" s="351" t="s">
        <v>886</v>
      </c>
      <c r="D20" s="183"/>
      <c r="E20" s="183"/>
      <c r="F20" s="183"/>
      <c r="G20" s="183"/>
      <c r="H20" s="183"/>
    </row>
    <row r="21" spans="1:9" ht="15" x14ac:dyDescent="0.2">
      <c r="A21" s="254">
        <v>13</v>
      </c>
      <c r="B21" s="1002"/>
      <c r="C21" s="351" t="s">
        <v>887</v>
      </c>
      <c r="D21" s="183"/>
      <c r="E21" s="183"/>
      <c r="F21" s="183"/>
      <c r="G21" s="183"/>
      <c r="H21" s="183"/>
    </row>
    <row r="22" spans="1:9" ht="15" x14ac:dyDescent="0.2">
      <c r="A22" s="254">
        <v>14</v>
      </c>
      <c r="B22" s="1002"/>
      <c r="C22" s="351" t="s">
        <v>888</v>
      </c>
      <c r="D22" s="183"/>
      <c r="E22" s="183"/>
      <c r="F22" s="183"/>
      <c r="G22" s="183"/>
      <c r="H22" s="183"/>
    </row>
    <row r="23" spans="1:9" ht="15" x14ac:dyDescent="0.2">
      <c r="A23" s="254">
        <v>15</v>
      </c>
      <c r="B23" s="1002"/>
      <c r="C23" s="351" t="s">
        <v>924</v>
      </c>
      <c r="D23" s="183"/>
      <c r="E23" s="183"/>
      <c r="F23" s="183"/>
      <c r="G23" s="183"/>
      <c r="H23" s="183"/>
    </row>
    <row r="24" spans="1:9" ht="15" x14ac:dyDescent="0.2">
      <c r="A24" s="254">
        <v>16</v>
      </c>
      <c r="B24" s="1002"/>
      <c r="C24" s="351" t="s">
        <v>890</v>
      </c>
      <c r="D24" s="183"/>
      <c r="E24" s="183"/>
      <c r="F24" s="183"/>
      <c r="G24" s="183"/>
      <c r="H24" s="183"/>
    </row>
    <row r="25" spans="1:9" ht="15" x14ac:dyDescent="0.2">
      <c r="A25" s="254">
        <v>17</v>
      </c>
      <c r="B25" s="1002"/>
      <c r="C25" s="351" t="s">
        <v>891</v>
      </c>
      <c r="D25" s="183">
        <v>2</v>
      </c>
      <c r="E25" s="183"/>
      <c r="F25" s="183"/>
      <c r="G25" s="183"/>
      <c r="H25" s="183"/>
    </row>
    <row r="26" spans="1:9" ht="15" x14ac:dyDescent="0.2">
      <c r="A26" s="254">
        <v>18</v>
      </c>
      <c r="B26" s="1002"/>
      <c r="C26" s="351" t="s">
        <v>892</v>
      </c>
      <c r="D26" s="183"/>
      <c r="E26" s="183"/>
      <c r="F26" s="18"/>
      <c r="G26" s="18"/>
      <c r="H26" s="18"/>
    </row>
    <row r="27" spans="1:9" ht="15" x14ac:dyDescent="0.2">
      <c r="A27" s="254">
        <v>19</v>
      </c>
      <c r="B27" s="1002"/>
      <c r="C27" s="351" t="s">
        <v>893</v>
      </c>
      <c r="D27" s="183"/>
      <c r="E27" s="183"/>
      <c r="F27" s="18"/>
      <c r="G27" s="18"/>
      <c r="H27" s="18"/>
    </row>
    <row r="28" spans="1:9" ht="15" x14ac:dyDescent="0.2">
      <c r="A28" s="254">
        <v>20</v>
      </c>
      <c r="B28" s="1002"/>
      <c r="C28" s="351" t="s">
        <v>894</v>
      </c>
      <c r="D28" s="183"/>
      <c r="E28" s="183"/>
      <c r="F28" s="18"/>
      <c r="G28" s="18"/>
      <c r="H28" s="18"/>
    </row>
    <row r="29" spans="1:9" ht="15" x14ac:dyDescent="0.2">
      <c r="A29" s="254">
        <v>21</v>
      </c>
      <c r="B29" s="1002"/>
      <c r="C29" s="351" t="s">
        <v>925</v>
      </c>
      <c r="D29" s="183">
        <v>2</v>
      </c>
      <c r="E29" s="183"/>
      <c r="F29" s="18"/>
      <c r="G29" s="18"/>
      <c r="H29" s="18"/>
    </row>
    <row r="30" spans="1:9" ht="15" x14ac:dyDescent="0.2">
      <c r="A30" s="254">
        <v>22</v>
      </c>
      <c r="B30" s="1002"/>
      <c r="C30" s="351" t="s">
        <v>896</v>
      </c>
      <c r="D30" s="183"/>
      <c r="E30" s="183"/>
      <c r="F30" s="18"/>
      <c r="G30" s="18"/>
      <c r="H30" s="18"/>
      <c r="I30" s="15" t="s">
        <v>393</v>
      </c>
    </row>
    <row r="31" spans="1:9" ht="15" x14ac:dyDescent="0.2">
      <c r="A31" s="254">
        <v>23</v>
      </c>
      <c r="B31" s="1002"/>
      <c r="C31" s="351" t="s">
        <v>926</v>
      </c>
      <c r="D31" s="183"/>
      <c r="E31" s="183"/>
      <c r="F31" s="18"/>
      <c r="G31" s="18"/>
      <c r="H31" s="18"/>
    </row>
    <row r="32" spans="1:9" ht="15" x14ac:dyDescent="0.2">
      <c r="A32" s="254">
        <v>24</v>
      </c>
      <c r="B32" s="1003"/>
      <c r="C32" s="351" t="s">
        <v>898</v>
      </c>
      <c r="D32" s="183">
        <v>2</v>
      </c>
      <c r="E32" s="183">
        <v>2</v>
      </c>
      <c r="F32" s="183" t="s">
        <v>939</v>
      </c>
      <c r="G32" s="18"/>
      <c r="H32" s="18"/>
    </row>
    <row r="33" spans="1:12" s="14" customFormat="1" x14ac:dyDescent="0.2">
      <c r="A33" s="725" t="s">
        <v>15</v>
      </c>
      <c r="B33" s="725"/>
      <c r="C33" s="28"/>
      <c r="D33" s="141">
        <f>SUM(D9:D32)</f>
        <v>23</v>
      </c>
      <c r="E33" s="141">
        <f>SUM(E9:E32)</f>
        <v>10</v>
      </c>
      <c r="F33" s="141"/>
      <c r="G33" s="28"/>
      <c r="H33" s="28"/>
    </row>
    <row r="37" spans="1:12" x14ac:dyDescent="0.2">
      <c r="A37" s="186"/>
      <c r="B37" s="186"/>
      <c r="C37" s="186"/>
      <c r="D37" s="186"/>
      <c r="E37" s="669"/>
      <c r="F37" s="865" t="s">
        <v>1107</v>
      </c>
      <c r="G37" s="865"/>
      <c r="H37" s="865"/>
    </row>
    <row r="38" spans="1:12" x14ac:dyDescent="0.2">
      <c r="A38" s="186"/>
      <c r="B38" s="186"/>
      <c r="C38" s="186"/>
      <c r="D38" s="186"/>
      <c r="E38" s="669"/>
      <c r="F38" s="865" t="s">
        <v>1108</v>
      </c>
      <c r="G38" s="865"/>
      <c r="H38" s="865"/>
    </row>
    <row r="39" spans="1:12" ht="12.75" customHeight="1" x14ac:dyDescent="0.2">
      <c r="A39" s="186"/>
      <c r="B39" s="186"/>
      <c r="C39" s="186"/>
      <c r="D39" s="186"/>
      <c r="E39" s="669"/>
      <c r="F39" s="865" t="s">
        <v>1113</v>
      </c>
      <c r="G39" s="865"/>
      <c r="H39" s="865"/>
      <c r="I39" s="356"/>
      <c r="J39" s="356"/>
      <c r="L39" s="567"/>
    </row>
    <row r="40" spans="1:12" ht="12.75" customHeight="1" x14ac:dyDescent="0.2">
      <c r="A40" s="186" t="s">
        <v>11</v>
      </c>
      <c r="B40" s="669"/>
      <c r="C40" s="186"/>
      <c r="D40" s="186"/>
      <c r="E40" s="669"/>
      <c r="F40" s="669"/>
      <c r="G40" s="188" t="s">
        <v>1110</v>
      </c>
      <c r="H40" s="669"/>
      <c r="I40" s="356"/>
      <c r="J40" s="356"/>
      <c r="L40" s="567"/>
    </row>
    <row r="41" spans="1:12" ht="12.75" customHeight="1" x14ac:dyDescent="0.2">
      <c r="B41" s="566"/>
      <c r="C41" s="567"/>
      <c r="D41" s="567"/>
      <c r="E41" s="567"/>
      <c r="G41" s="567"/>
      <c r="H41" s="567"/>
      <c r="I41" s="577"/>
      <c r="J41" s="577"/>
      <c r="L41" s="567"/>
    </row>
  </sheetData>
  <mergeCells count="15">
    <mergeCell ref="D6:E6"/>
    <mergeCell ref="H6:H7"/>
    <mergeCell ref="F39:H39"/>
    <mergeCell ref="F37:H37"/>
    <mergeCell ref="F38:H38"/>
    <mergeCell ref="A33:B33"/>
    <mergeCell ref="B9:B32"/>
    <mergeCell ref="A1:G1"/>
    <mergeCell ref="A2:G2"/>
    <mergeCell ref="A4:G4"/>
    <mergeCell ref="A6:A7"/>
    <mergeCell ref="B6:B7"/>
    <mergeCell ref="G5:H5"/>
    <mergeCell ref="C6:C7"/>
    <mergeCell ref="F6:G6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topLeftCell="A7" zoomScale="84" zoomScaleNormal="85" zoomScaleSheetLayoutView="84" workbookViewId="0">
      <selection activeCell="O19" sqref="O19"/>
    </sheetView>
  </sheetViews>
  <sheetFormatPr defaultRowHeight="12.75" x14ac:dyDescent="0.2"/>
  <cols>
    <col min="1" max="1" width="6.42578125" customWidth="1"/>
    <col min="2" max="2" width="17.8554687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867" t="s">
        <v>0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217" t="s">
        <v>515</v>
      </c>
    </row>
    <row r="2" spans="1:12" ht="21" x14ac:dyDescent="0.35">
      <c r="A2" s="868" t="s">
        <v>694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</row>
    <row r="3" spans="1:12" ht="15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2" ht="18" x14ac:dyDescent="0.35">
      <c r="A4" s="867" t="s">
        <v>514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</row>
    <row r="5" spans="1:12" ht="15" x14ac:dyDescent="0.3">
      <c r="A5" s="191" t="s">
        <v>1098</v>
      </c>
      <c r="B5" s="191"/>
      <c r="C5" s="181"/>
      <c r="D5" s="181"/>
      <c r="E5" s="181"/>
      <c r="F5" s="181"/>
      <c r="G5" s="181"/>
      <c r="H5" s="181"/>
      <c r="I5" s="181"/>
      <c r="J5" s="958" t="s">
        <v>772</v>
      </c>
      <c r="K5" s="958"/>
      <c r="L5" s="958"/>
    </row>
    <row r="6" spans="1:12" ht="21.75" customHeight="1" x14ac:dyDescent="0.2">
      <c r="A6" s="959" t="s">
        <v>1</v>
      </c>
      <c r="B6" s="959" t="s">
        <v>33</v>
      </c>
      <c r="C6" s="770" t="s">
        <v>457</v>
      </c>
      <c r="D6" s="771"/>
      <c r="E6" s="772"/>
      <c r="F6" s="770" t="s">
        <v>463</v>
      </c>
      <c r="G6" s="771"/>
      <c r="H6" s="771"/>
      <c r="I6" s="772"/>
      <c r="J6" s="775" t="s">
        <v>465</v>
      </c>
      <c r="K6" s="775"/>
      <c r="L6" s="775"/>
    </row>
    <row r="7" spans="1:12" ht="29.25" customHeight="1" x14ac:dyDescent="0.2">
      <c r="A7" s="960"/>
      <c r="B7" s="960"/>
      <c r="C7" s="212" t="s">
        <v>208</v>
      </c>
      <c r="D7" s="212" t="s">
        <v>459</v>
      </c>
      <c r="E7" s="212" t="s">
        <v>464</v>
      </c>
      <c r="F7" s="212" t="s">
        <v>208</v>
      </c>
      <c r="G7" s="212" t="s">
        <v>458</v>
      </c>
      <c r="H7" s="212" t="s">
        <v>460</v>
      </c>
      <c r="I7" s="212" t="s">
        <v>464</v>
      </c>
      <c r="J7" s="5" t="s">
        <v>461</v>
      </c>
      <c r="K7" s="5" t="s">
        <v>462</v>
      </c>
      <c r="L7" s="212" t="s">
        <v>464</v>
      </c>
    </row>
    <row r="8" spans="1:12" ht="15" x14ac:dyDescent="0.2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183" t="s">
        <v>259</v>
      </c>
      <c r="H8" s="183" t="s">
        <v>260</v>
      </c>
      <c r="I8" s="183" t="s">
        <v>279</v>
      </c>
      <c r="J8" s="183" t="s">
        <v>280</v>
      </c>
      <c r="K8" s="183" t="s">
        <v>281</v>
      </c>
      <c r="L8" s="183" t="s">
        <v>309</v>
      </c>
    </row>
    <row r="9" spans="1:12" ht="15" customHeight="1" x14ac:dyDescent="0.2">
      <c r="A9" s="17">
        <v>1</v>
      </c>
      <c r="B9" s="351" t="s">
        <v>875</v>
      </c>
      <c r="C9" s="1005" t="s">
        <v>1101</v>
      </c>
      <c r="D9" s="1006"/>
      <c r="E9" s="1006"/>
      <c r="F9" s="1006"/>
      <c r="G9" s="1006"/>
      <c r="H9" s="1006"/>
      <c r="I9" s="1006"/>
      <c r="J9" s="1006"/>
      <c r="K9" s="1006"/>
      <c r="L9" s="1007"/>
    </row>
    <row r="10" spans="1:12" ht="15" customHeight="1" x14ac:dyDescent="0.2">
      <c r="A10" s="17">
        <v>2</v>
      </c>
      <c r="B10" s="351" t="s">
        <v>876</v>
      </c>
      <c r="C10" s="1008"/>
      <c r="D10" s="1009"/>
      <c r="E10" s="1009"/>
      <c r="F10" s="1009"/>
      <c r="G10" s="1009"/>
      <c r="H10" s="1009"/>
      <c r="I10" s="1009"/>
      <c r="J10" s="1009"/>
      <c r="K10" s="1009"/>
      <c r="L10" s="1010"/>
    </row>
    <row r="11" spans="1:12" ht="15" customHeight="1" x14ac:dyDescent="0.2">
      <c r="A11" s="17">
        <v>3</v>
      </c>
      <c r="B11" s="351" t="s">
        <v>877</v>
      </c>
      <c r="C11" s="1008"/>
      <c r="D11" s="1009"/>
      <c r="E11" s="1009"/>
      <c r="F11" s="1009"/>
      <c r="G11" s="1009"/>
      <c r="H11" s="1009"/>
      <c r="I11" s="1009"/>
      <c r="J11" s="1009"/>
      <c r="K11" s="1009"/>
      <c r="L11" s="1010"/>
    </row>
    <row r="12" spans="1:12" ht="15" customHeight="1" x14ac:dyDescent="0.2">
      <c r="A12" s="17">
        <v>4</v>
      </c>
      <c r="B12" s="351" t="s">
        <v>878</v>
      </c>
      <c r="C12" s="1008"/>
      <c r="D12" s="1009"/>
      <c r="E12" s="1009"/>
      <c r="F12" s="1009"/>
      <c r="G12" s="1009"/>
      <c r="H12" s="1009"/>
      <c r="I12" s="1009"/>
      <c r="J12" s="1009"/>
      <c r="K12" s="1009"/>
      <c r="L12" s="1010"/>
    </row>
    <row r="13" spans="1:12" ht="15" customHeight="1" x14ac:dyDescent="0.2">
      <c r="A13" s="17">
        <v>5</v>
      </c>
      <c r="B13" s="351" t="s">
        <v>879</v>
      </c>
      <c r="C13" s="1008"/>
      <c r="D13" s="1009"/>
      <c r="E13" s="1009"/>
      <c r="F13" s="1009"/>
      <c r="G13" s="1009"/>
      <c r="H13" s="1009"/>
      <c r="I13" s="1009"/>
      <c r="J13" s="1009"/>
      <c r="K13" s="1009"/>
      <c r="L13" s="1010"/>
    </row>
    <row r="14" spans="1:12" ht="15" customHeight="1" x14ac:dyDescent="0.2">
      <c r="A14" s="17">
        <v>6</v>
      </c>
      <c r="B14" s="351" t="s">
        <v>880</v>
      </c>
      <c r="C14" s="1008"/>
      <c r="D14" s="1009"/>
      <c r="E14" s="1009"/>
      <c r="F14" s="1009"/>
      <c r="G14" s="1009"/>
      <c r="H14" s="1009"/>
      <c r="I14" s="1009"/>
      <c r="J14" s="1009"/>
      <c r="K14" s="1009"/>
      <c r="L14" s="1010"/>
    </row>
    <row r="15" spans="1:12" ht="15" customHeight="1" x14ac:dyDescent="0.2">
      <c r="A15" s="17">
        <v>7</v>
      </c>
      <c r="B15" s="351" t="s">
        <v>923</v>
      </c>
      <c r="C15" s="1008"/>
      <c r="D15" s="1009"/>
      <c r="E15" s="1009"/>
      <c r="F15" s="1009"/>
      <c r="G15" s="1009"/>
      <c r="H15" s="1009"/>
      <c r="I15" s="1009"/>
      <c r="J15" s="1009"/>
      <c r="K15" s="1009"/>
      <c r="L15" s="1010"/>
    </row>
    <row r="16" spans="1:12" ht="15" customHeight="1" x14ac:dyDescent="0.2">
      <c r="A16" s="17">
        <v>8</v>
      </c>
      <c r="B16" s="351" t="s">
        <v>882</v>
      </c>
      <c r="C16" s="1008"/>
      <c r="D16" s="1009"/>
      <c r="E16" s="1009"/>
      <c r="F16" s="1009"/>
      <c r="G16" s="1009"/>
      <c r="H16" s="1009"/>
      <c r="I16" s="1009"/>
      <c r="J16" s="1009"/>
      <c r="K16" s="1009"/>
      <c r="L16" s="1010"/>
    </row>
    <row r="17" spans="1:14" ht="15" customHeight="1" x14ac:dyDescent="0.2">
      <c r="A17" s="17">
        <v>9</v>
      </c>
      <c r="B17" s="351" t="s">
        <v>883</v>
      </c>
      <c r="C17" s="1008"/>
      <c r="D17" s="1009"/>
      <c r="E17" s="1009"/>
      <c r="F17" s="1009"/>
      <c r="G17" s="1009"/>
      <c r="H17" s="1009"/>
      <c r="I17" s="1009"/>
      <c r="J17" s="1009"/>
      <c r="K17" s="1009"/>
      <c r="L17" s="1010"/>
    </row>
    <row r="18" spans="1:14" ht="15" customHeight="1" x14ac:dyDescent="0.2">
      <c r="A18" s="17">
        <v>10</v>
      </c>
      <c r="B18" s="351" t="s">
        <v>884</v>
      </c>
      <c r="C18" s="1008"/>
      <c r="D18" s="1009"/>
      <c r="E18" s="1009"/>
      <c r="F18" s="1009"/>
      <c r="G18" s="1009"/>
      <c r="H18" s="1009"/>
      <c r="I18" s="1009"/>
      <c r="J18" s="1009"/>
      <c r="K18" s="1009"/>
      <c r="L18" s="1010"/>
    </row>
    <row r="19" spans="1:14" ht="15" customHeight="1" x14ac:dyDescent="0.2">
      <c r="A19" s="17">
        <v>11</v>
      </c>
      <c r="B19" s="351" t="s">
        <v>885</v>
      </c>
      <c r="C19" s="1008"/>
      <c r="D19" s="1009"/>
      <c r="E19" s="1009"/>
      <c r="F19" s="1009"/>
      <c r="G19" s="1009"/>
      <c r="H19" s="1009"/>
      <c r="I19" s="1009"/>
      <c r="J19" s="1009"/>
      <c r="K19" s="1009"/>
      <c r="L19" s="1010"/>
    </row>
    <row r="20" spans="1:14" ht="15" customHeight="1" x14ac:dyDescent="0.2">
      <c r="A20" s="17">
        <v>12</v>
      </c>
      <c r="B20" s="351" t="s">
        <v>886</v>
      </c>
      <c r="C20" s="1008"/>
      <c r="D20" s="1009"/>
      <c r="E20" s="1009"/>
      <c r="F20" s="1009"/>
      <c r="G20" s="1009"/>
      <c r="H20" s="1009"/>
      <c r="I20" s="1009"/>
      <c r="J20" s="1009"/>
      <c r="K20" s="1009"/>
      <c r="L20" s="1010"/>
    </row>
    <row r="21" spans="1:14" ht="15" customHeight="1" x14ac:dyDescent="0.2">
      <c r="A21" s="17">
        <v>13</v>
      </c>
      <c r="B21" s="351" t="s">
        <v>887</v>
      </c>
      <c r="C21" s="1008"/>
      <c r="D21" s="1009"/>
      <c r="E21" s="1009"/>
      <c r="F21" s="1009"/>
      <c r="G21" s="1009"/>
      <c r="H21" s="1009"/>
      <c r="I21" s="1009"/>
      <c r="J21" s="1009"/>
      <c r="K21" s="1009"/>
      <c r="L21" s="1010"/>
    </row>
    <row r="22" spans="1:14" ht="15" customHeight="1" x14ac:dyDescent="0.2">
      <c r="A22" s="17">
        <v>14</v>
      </c>
      <c r="B22" s="351" t="s">
        <v>888</v>
      </c>
      <c r="C22" s="1008"/>
      <c r="D22" s="1009"/>
      <c r="E22" s="1009"/>
      <c r="F22" s="1009"/>
      <c r="G22" s="1009"/>
      <c r="H22" s="1009"/>
      <c r="I22" s="1009"/>
      <c r="J22" s="1009"/>
      <c r="K22" s="1009"/>
      <c r="L22" s="1010"/>
    </row>
    <row r="23" spans="1:14" ht="15" customHeight="1" x14ac:dyDescent="0.2">
      <c r="A23" s="17">
        <v>15</v>
      </c>
      <c r="B23" s="351" t="s">
        <v>924</v>
      </c>
      <c r="C23" s="1008"/>
      <c r="D23" s="1009"/>
      <c r="E23" s="1009"/>
      <c r="F23" s="1009"/>
      <c r="G23" s="1009"/>
      <c r="H23" s="1009"/>
      <c r="I23" s="1009"/>
      <c r="J23" s="1009"/>
      <c r="K23" s="1009"/>
      <c r="L23" s="1010"/>
    </row>
    <row r="24" spans="1:14" ht="15" customHeight="1" x14ac:dyDescent="0.2">
      <c r="A24" s="17">
        <v>16</v>
      </c>
      <c r="B24" s="351" t="s">
        <v>890</v>
      </c>
      <c r="C24" s="1008"/>
      <c r="D24" s="1009"/>
      <c r="E24" s="1009"/>
      <c r="F24" s="1009"/>
      <c r="G24" s="1009"/>
      <c r="H24" s="1009"/>
      <c r="I24" s="1009"/>
      <c r="J24" s="1009"/>
      <c r="K24" s="1009"/>
      <c r="L24" s="1010"/>
    </row>
    <row r="25" spans="1:14" ht="15" customHeight="1" x14ac:dyDescent="0.2">
      <c r="A25" s="17">
        <v>17</v>
      </c>
      <c r="B25" s="351" t="s">
        <v>891</v>
      </c>
      <c r="C25" s="1008"/>
      <c r="D25" s="1009"/>
      <c r="E25" s="1009"/>
      <c r="F25" s="1009"/>
      <c r="G25" s="1009"/>
      <c r="H25" s="1009"/>
      <c r="I25" s="1009"/>
      <c r="J25" s="1009"/>
      <c r="K25" s="1009"/>
      <c r="L25" s="1010"/>
    </row>
    <row r="26" spans="1:14" ht="15" customHeight="1" x14ac:dyDescent="0.2">
      <c r="A26" s="17">
        <v>18</v>
      </c>
      <c r="B26" s="351" t="s">
        <v>892</v>
      </c>
      <c r="C26" s="1008"/>
      <c r="D26" s="1009"/>
      <c r="E26" s="1009"/>
      <c r="F26" s="1009"/>
      <c r="G26" s="1009"/>
      <c r="H26" s="1009"/>
      <c r="I26" s="1009"/>
      <c r="J26" s="1009"/>
      <c r="K26" s="1009"/>
      <c r="L26" s="1010"/>
    </row>
    <row r="27" spans="1:14" ht="15" customHeight="1" x14ac:dyDescent="0.2">
      <c r="A27" s="17">
        <v>19</v>
      </c>
      <c r="B27" s="351" t="s">
        <v>893</v>
      </c>
      <c r="C27" s="1008"/>
      <c r="D27" s="1009"/>
      <c r="E27" s="1009"/>
      <c r="F27" s="1009"/>
      <c r="G27" s="1009"/>
      <c r="H27" s="1009"/>
      <c r="I27" s="1009"/>
      <c r="J27" s="1009"/>
      <c r="K27" s="1009"/>
      <c r="L27" s="1010"/>
    </row>
    <row r="28" spans="1:14" x14ac:dyDescent="0.2">
      <c r="A28" s="17">
        <v>20</v>
      </c>
      <c r="B28" s="351" t="s">
        <v>894</v>
      </c>
      <c r="C28" s="1008"/>
      <c r="D28" s="1009"/>
      <c r="E28" s="1009"/>
      <c r="F28" s="1009"/>
      <c r="G28" s="1009"/>
      <c r="H28" s="1009"/>
      <c r="I28" s="1009"/>
      <c r="J28" s="1009"/>
      <c r="K28" s="1009"/>
      <c r="L28" s="1010"/>
      <c r="N28" t="s">
        <v>10</v>
      </c>
    </row>
    <row r="29" spans="1:14" x14ac:dyDescent="0.2">
      <c r="A29" s="17">
        <v>21</v>
      </c>
      <c r="B29" s="351" t="s">
        <v>925</v>
      </c>
      <c r="C29" s="1008"/>
      <c r="D29" s="1009"/>
      <c r="E29" s="1009"/>
      <c r="F29" s="1009"/>
      <c r="G29" s="1009"/>
      <c r="H29" s="1009"/>
      <c r="I29" s="1009"/>
      <c r="J29" s="1009"/>
      <c r="K29" s="1009"/>
      <c r="L29" s="1010"/>
    </row>
    <row r="30" spans="1:14" x14ac:dyDescent="0.2">
      <c r="A30" s="17">
        <v>22</v>
      </c>
      <c r="B30" s="351" t="s">
        <v>896</v>
      </c>
      <c r="C30" s="1008"/>
      <c r="D30" s="1009"/>
      <c r="E30" s="1009"/>
      <c r="F30" s="1009"/>
      <c r="G30" s="1009"/>
      <c r="H30" s="1009"/>
      <c r="I30" s="1009"/>
      <c r="J30" s="1009"/>
      <c r="K30" s="1009"/>
      <c r="L30" s="1010"/>
    </row>
    <row r="31" spans="1:14" x14ac:dyDescent="0.2">
      <c r="A31" s="17">
        <v>23</v>
      </c>
      <c r="B31" s="351" t="s">
        <v>926</v>
      </c>
      <c r="C31" s="1008"/>
      <c r="D31" s="1009"/>
      <c r="E31" s="1009"/>
      <c r="F31" s="1009"/>
      <c r="G31" s="1009"/>
      <c r="H31" s="1009"/>
      <c r="I31" s="1009"/>
      <c r="J31" s="1009"/>
      <c r="K31" s="1009"/>
      <c r="L31" s="1010"/>
    </row>
    <row r="32" spans="1:14" x14ac:dyDescent="0.2">
      <c r="A32" s="17">
        <v>24</v>
      </c>
      <c r="B32" s="351" t="s">
        <v>898</v>
      </c>
      <c r="C32" s="1008"/>
      <c r="D32" s="1009"/>
      <c r="E32" s="1009"/>
      <c r="F32" s="1009"/>
      <c r="G32" s="1009"/>
      <c r="H32" s="1009"/>
      <c r="I32" s="1009"/>
      <c r="J32" s="1009"/>
      <c r="K32" s="1009"/>
      <c r="L32" s="1010"/>
    </row>
    <row r="33" spans="1:13" x14ac:dyDescent="0.2">
      <c r="A33" s="733" t="s">
        <v>15</v>
      </c>
      <c r="B33" s="735"/>
      <c r="C33" s="1011"/>
      <c r="D33" s="1012"/>
      <c r="E33" s="1012"/>
      <c r="F33" s="1012"/>
      <c r="G33" s="1012"/>
      <c r="H33" s="1012"/>
      <c r="I33" s="1012"/>
      <c r="J33" s="1012"/>
      <c r="K33" s="1012"/>
      <c r="L33" s="1013"/>
    </row>
    <row r="36" spans="1:13" ht="12.75" customHeight="1" x14ac:dyDescent="0.2">
      <c r="A36" s="186"/>
      <c r="B36" s="186"/>
      <c r="C36" s="186"/>
      <c r="D36" s="186"/>
      <c r="E36" s="186"/>
      <c r="F36" s="186"/>
      <c r="G36" s="669"/>
      <c r="H36" s="669"/>
      <c r="I36" s="669"/>
      <c r="J36" s="669"/>
      <c r="K36" s="187" t="s">
        <v>1107</v>
      </c>
      <c r="L36" s="669"/>
    </row>
    <row r="37" spans="1:13" ht="12.75" customHeight="1" x14ac:dyDescent="0.2">
      <c r="A37" s="186"/>
      <c r="B37" s="186"/>
      <c r="C37" s="186"/>
      <c r="D37" s="186"/>
      <c r="E37" s="186" t="s">
        <v>10</v>
      </c>
      <c r="F37" s="186"/>
      <c r="G37" s="669"/>
      <c r="H37" s="669"/>
      <c r="I37" s="669"/>
      <c r="J37" s="865" t="s">
        <v>1108</v>
      </c>
      <c r="K37" s="865"/>
      <c r="L37" s="865"/>
    </row>
    <row r="38" spans="1:13" ht="12.75" customHeight="1" x14ac:dyDescent="0.2">
      <c r="A38" s="186"/>
      <c r="B38" s="186"/>
      <c r="C38" s="186"/>
      <c r="D38" s="186"/>
      <c r="E38" s="186"/>
      <c r="F38" s="186"/>
      <c r="G38" s="669"/>
      <c r="H38" s="669"/>
      <c r="I38" s="669"/>
      <c r="J38" s="865" t="s">
        <v>1113</v>
      </c>
      <c r="K38" s="865"/>
      <c r="L38" s="865"/>
      <c r="M38" s="567"/>
    </row>
    <row r="39" spans="1:13" x14ac:dyDescent="0.2">
      <c r="A39" s="186" t="s">
        <v>11</v>
      </c>
      <c r="B39" s="669"/>
      <c r="C39" s="669"/>
      <c r="D39" s="669"/>
      <c r="E39" s="669"/>
      <c r="F39" s="186"/>
      <c r="G39" s="669"/>
      <c r="H39" s="669"/>
      <c r="I39" s="669"/>
      <c r="J39" s="669"/>
      <c r="K39" s="188" t="s">
        <v>1110</v>
      </c>
      <c r="L39" s="669"/>
      <c r="M39" s="567"/>
    </row>
    <row r="40" spans="1:13" x14ac:dyDescent="0.2">
      <c r="C40" s="567"/>
      <c r="D40" s="567"/>
      <c r="E40" s="567"/>
      <c r="F40" s="567"/>
      <c r="G40" s="567"/>
      <c r="H40" s="567"/>
      <c r="I40" s="566"/>
      <c r="J40" s="15"/>
      <c r="K40" s="567"/>
      <c r="L40" s="567"/>
      <c r="M40" s="567"/>
    </row>
  </sheetData>
  <mergeCells count="13">
    <mergeCell ref="J5:L5"/>
    <mergeCell ref="A33:B33"/>
    <mergeCell ref="C9:L33"/>
    <mergeCell ref="A1:K1"/>
    <mergeCell ref="C6:E6"/>
    <mergeCell ref="F6:I6"/>
    <mergeCell ref="J6:L6"/>
    <mergeCell ref="A6:A7"/>
    <mergeCell ref="J38:L38"/>
    <mergeCell ref="J37:L37"/>
    <mergeCell ref="B6:B7"/>
    <mergeCell ref="A2:K2"/>
    <mergeCell ref="A4:K4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topLeftCell="A10" zoomScale="80" zoomScaleNormal="100" zoomScaleSheetLayoutView="80" workbookViewId="0">
      <selection activeCell="A37" sqref="A37:K40"/>
    </sheetView>
  </sheetViews>
  <sheetFormatPr defaultRowHeight="12.75" x14ac:dyDescent="0.2"/>
  <cols>
    <col min="1" max="1" width="7.7109375" customWidth="1"/>
    <col min="2" max="2" width="17.140625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867" t="s">
        <v>0</v>
      </c>
      <c r="B1" s="867"/>
      <c r="C1" s="867"/>
      <c r="D1" s="867"/>
      <c r="E1" s="867"/>
      <c r="F1" s="867"/>
      <c r="G1" s="867"/>
      <c r="H1" s="867"/>
      <c r="I1" s="261"/>
      <c r="J1" s="261"/>
      <c r="K1" s="217" t="s">
        <v>517</v>
      </c>
    </row>
    <row r="2" spans="1:11" ht="21" x14ac:dyDescent="0.35">
      <c r="A2" s="868" t="s">
        <v>694</v>
      </c>
      <c r="B2" s="868"/>
      <c r="C2" s="868"/>
      <c r="D2" s="868"/>
      <c r="E2" s="868"/>
      <c r="F2" s="868"/>
      <c r="G2" s="868"/>
      <c r="H2" s="868"/>
      <c r="I2" s="179"/>
      <c r="J2" s="179"/>
    </row>
    <row r="3" spans="1:11" ht="15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1" ht="18" x14ac:dyDescent="0.35">
      <c r="A4" s="867" t="s">
        <v>516</v>
      </c>
      <c r="B4" s="867"/>
      <c r="C4" s="867"/>
      <c r="D4" s="867"/>
      <c r="E4" s="867"/>
      <c r="F4" s="867"/>
      <c r="G4" s="867"/>
      <c r="H4" s="867"/>
      <c r="I4" s="261"/>
      <c r="J4" s="261"/>
    </row>
    <row r="5" spans="1:11" ht="15" x14ac:dyDescent="0.3">
      <c r="A5" s="191" t="s">
        <v>1098</v>
      </c>
      <c r="B5" s="191"/>
      <c r="C5" s="181"/>
      <c r="D5" s="181"/>
      <c r="E5" s="181"/>
      <c r="F5" s="181"/>
      <c r="G5" s="958" t="s">
        <v>772</v>
      </c>
      <c r="H5" s="958"/>
      <c r="I5" s="958"/>
      <c r="J5" s="958"/>
      <c r="K5" s="958"/>
    </row>
    <row r="6" spans="1:11" ht="21.75" customHeight="1" x14ac:dyDescent="0.2">
      <c r="A6" s="959" t="s">
        <v>1</v>
      </c>
      <c r="B6" s="959" t="s">
        <v>33</v>
      </c>
      <c r="C6" s="770" t="s">
        <v>475</v>
      </c>
      <c r="D6" s="771"/>
      <c r="E6" s="772"/>
      <c r="F6" s="770" t="s">
        <v>478</v>
      </c>
      <c r="G6" s="771"/>
      <c r="H6" s="772"/>
      <c r="I6" s="727" t="s">
        <v>644</v>
      </c>
      <c r="J6" s="727" t="s">
        <v>643</v>
      </c>
      <c r="K6" s="727" t="s">
        <v>74</v>
      </c>
    </row>
    <row r="7" spans="1:11" ht="29.25" customHeight="1" x14ac:dyDescent="0.2">
      <c r="A7" s="960"/>
      <c r="B7" s="960"/>
      <c r="C7" s="5" t="s">
        <v>474</v>
      </c>
      <c r="D7" s="5" t="s">
        <v>476</v>
      </c>
      <c r="E7" s="5" t="s">
        <v>477</v>
      </c>
      <c r="F7" s="5" t="s">
        <v>474</v>
      </c>
      <c r="G7" s="5" t="s">
        <v>476</v>
      </c>
      <c r="H7" s="5" t="s">
        <v>477</v>
      </c>
      <c r="I7" s="728"/>
      <c r="J7" s="728"/>
      <c r="K7" s="728"/>
    </row>
    <row r="8" spans="1:11" ht="15" x14ac:dyDescent="0.2">
      <c r="A8" s="255">
        <v>1</v>
      </c>
      <c r="B8" s="255">
        <v>2</v>
      </c>
      <c r="C8" s="255">
        <v>3</v>
      </c>
      <c r="D8" s="255">
        <v>4</v>
      </c>
      <c r="E8" s="255">
        <v>5</v>
      </c>
      <c r="F8" s="255">
        <v>6</v>
      </c>
      <c r="G8" s="255">
        <v>7</v>
      </c>
      <c r="H8" s="255">
        <v>8</v>
      </c>
      <c r="I8" s="255">
        <v>9</v>
      </c>
      <c r="J8" s="255">
        <v>10</v>
      </c>
      <c r="K8" s="255">
        <v>11</v>
      </c>
    </row>
    <row r="9" spans="1:11" ht="14.45" customHeight="1" x14ac:dyDescent="0.2">
      <c r="A9" s="254">
        <v>1</v>
      </c>
      <c r="B9" s="351" t="s">
        <v>875</v>
      </c>
      <c r="C9" s="1014" t="s">
        <v>979</v>
      </c>
      <c r="D9" s="1015"/>
      <c r="E9" s="1015"/>
      <c r="F9" s="1015"/>
      <c r="G9" s="1015"/>
      <c r="H9" s="1015"/>
      <c r="I9" s="1015"/>
      <c r="J9" s="1015"/>
      <c r="K9" s="1016"/>
    </row>
    <row r="10" spans="1:11" ht="14.45" customHeight="1" x14ac:dyDescent="0.2">
      <c r="A10" s="254">
        <v>2</v>
      </c>
      <c r="B10" s="351" t="s">
        <v>876</v>
      </c>
      <c r="C10" s="1017"/>
      <c r="D10" s="1018"/>
      <c r="E10" s="1018"/>
      <c r="F10" s="1018"/>
      <c r="G10" s="1018"/>
      <c r="H10" s="1018"/>
      <c r="I10" s="1018"/>
      <c r="J10" s="1018"/>
      <c r="K10" s="1019"/>
    </row>
    <row r="11" spans="1:11" ht="14.45" customHeight="1" x14ac:dyDescent="0.2">
      <c r="A11" s="254">
        <v>3</v>
      </c>
      <c r="B11" s="351" t="s">
        <v>877</v>
      </c>
      <c r="C11" s="1017"/>
      <c r="D11" s="1018"/>
      <c r="E11" s="1018"/>
      <c r="F11" s="1018"/>
      <c r="G11" s="1018"/>
      <c r="H11" s="1018"/>
      <c r="I11" s="1018"/>
      <c r="J11" s="1018"/>
      <c r="K11" s="1019"/>
    </row>
    <row r="12" spans="1:11" ht="14.45" customHeight="1" x14ac:dyDescent="0.2">
      <c r="A12" s="254">
        <v>4</v>
      </c>
      <c r="B12" s="351" t="s">
        <v>878</v>
      </c>
      <c r="C12" s="1017"/>
      <c r="D12" s="1018"/>
      <c r="E12" s="1018"/>
      <c r="F12" s="1018"/>
      <c r="G12" s="1018"/>
      <c r="H12" s="1018"/>
      <c r="I12" s="1018"/>
      <c r="J12" s="1018"/>
      <c r="K12" s="1019"/>
    </row>
    <row r="13" spans="1:11" ht="14.45" customHeight="1" x14ac:dyDescent="0.2">
      <c r="A13" s="254">
        <v>5</v>
      </c>
      <c r="B13" s="351" t="s">
        <v>879</v>
      </c>
      <c r="C13" s="1017"/>
      <c r="D13" s="1018"/>
      <c r="E13" s="1018"/>
      <c r="F13" s="1018"/>
      <c r="G13" s="1018"/>
      <c r="H13" s="1018"/>
      <c r="I13" s="1018"/>
      <c r="J13" s="1018"/>
      <c r="K13" s="1019"/>
    </row>
    <row r="14" spans="1:11" ht="14.45" customHeight="1" x14ac:dyDescent="0.2">
      <c r="A14" s="254">
        <v>6</v>
      </c>
      <c r="B14" s="351" t="s">
        <v>880</v>
      </c>
      <c r="C14" s="1017"/>
      <c r="D14" s="1018"/>
      <c r="E14" s="1018"/>
      <c r="F14" s="1018"/>
      <c r="G14" s="1018"/>
      <c r="H14" s="1018"/>
      <c r="I14" s="1018"/>
      <c r="J14" s="1018"/>
      <c r="K14" s="1019"/>
    </row>
    <row r="15" spans="1:11" ht="14.45" customHeight="1" x14ac:dyDescent="0.2">
      <c r="A15" s="254">
        <v>7</v>
      </c>
      <c r="B15" s="351" t="s">
        <v>923</v>
      </c>
      <c r="C15" s="1017"/>
      <c r="D15" s="1018"/>
      <c r="E15" s="1018"/>
      <c r="F15" s="1018"/>
      <c r="G15" s="1018"/>
      <c r="H15" s="1018"/>
      <c r="I15" s="1018"/>
      <c r="J15" s="1018"/>
      <c r="K15" s="1019"/>
    </row>
    <row r="16" spans="1:11" ht="14.45" customHeight="1" x14ac:dyDescent="0.2">
      <c r="A16" s="254">
        <v>8</v>
      </c>
      <c r="B16" s="351" t="s">
        <v>882</v>
      </c>
      <c r="C16" s="1017"/>
      <c r="D16" s="1018"/>
      <c r="E16" s="1018"/>
      <c r="F16" s="1018"/>
      <c r="G16" s="1018"/>
      <c r="H16" s="1018"/>
      <c r="I16" s="1018"/>
      <c r="J16" s="1018"/>
      <c r="K16" s="1019"/>
    </row>
    <row r="17" spans="1:13" ht="14.45" customHeight="1" x14ac:dyDescent="0.2">
      <c r="A17" s="254">
        <v>9</v>
      </c>
      <c r="B17" s="351" t="s">
        <v>883</v>
      </c>
      <c r="C17" s="1017"/>
      <c r="D17" s="1018"/>
      <c r="E17" s="1018"/>
      <c r="F17" s="1018"/>
      <c r="G17" s="1018"/>
      <c r="H17" s="1018"/>
      <c r="I17" s="1018"/>
      <c r="J17" s="1018"/>
      <c r="K17" s="1019"/>
    </row>
    <row r="18" spans="1:13" ht="14.45" customHeight="1" x14ac:dyDescent="0.2">
      <c r="A18" s="254">
        <v>10</v>
      </c>
      <c r="B18" s="351" t="s">
        <v>884</v>
      </c>
      <c r="C18" s="1017"/>
      <c r="D18" s="1018"/>
      <c r="E18" s="1018"/>
      <c r="F18" s="1018"/>
      <c r="G18" s="1018"/>
      <c r="H18" s="1018"/>
      <c r="I18" s="1018"/>
      <c r="J18" s="1018"/>
      <c r="K18" s="1019"/>
    </row>
    <row r="19" spans="1:13" ht="14.45" customHeight="1" x14ac:dyDescent="0.2">
      <c r="A19" s="254">
        <v>11</v>
      </c>
      <c r="B19" s="351" t="s">
        <v>885</v>
      </c>
      <c r="C19" s="1017"/>
      <c r="D19" s="1018"/>
      <c r="E19" s="1018"/>
      <c r="F19" s="1018"/>
      <c r="G19" s="1018"/>
      <c r="H19" s="1018"/>
      <c r="I19" s="1018"/>
      <c r="J19" s="1018"/>
      <c r="K19" s="1019"/>
    </row>
    <row r="20" spans="1:13" ht="14.45" customHeight="1" x14ac:dyDescent="0.2">
      <c r="A20" s="254">
        <v>12</v>
      </c>
      <c r="B20" s="351" t="s">
        <v>886</v>
      </c>
      <c r="C20" s="1017"/>
      <c r="D20" s="1018"/>
      <c r="E20" s="1018"/>
      <c r="F20" s="1018"/>
      <c r="G20" s="1018"/>
      <c r="H20" s="1018"/>
      <c r="I20" s="1018"/>
      <c r="J20" s="1018"/>
      <c r="K20" s="1019"/>
    </row>
    <row r="21" spans="1:13" ht="14.45" customHeight="1" x14ac:dyDescent="0.2">
      <c r="A21" s="254">
        <v>13</v>
      </c>
      <c r="B21" s="351" t="s">
        <v>887</v>
      </c>
      <c r="C21" s="1017"/>
      <c r="D21" s="1018"/>
      <c r="E21" s="1018"/>
      <c r="F21" s="1018"/>
      <c r="G21" s="1018"/>
      <c r="H21" s="1018"/>
      <c r="I21" s="1018"/>
      <c r="J21" s="1018"/>
      <c r="K21" s="1019"/>
    </row>
    <row r="22" spans="1:13" ht="14.45" customHeight="1" x14ac:dyDescent="0.2">
      <c r="A22" s="254">
        <v>14</v>
      </c>
      <c r="B22" s="351" t="s">
        <v>888</v>
      </c>
      <c r="C22" s="1017"/>
      <c r="D22" s="1018"/>
      <c r="E22" s="1018"/>
      <c r="F22" s="1018"/>
      <c r="G22" s="1018"/>
      <c r="H22" s="1018"/>
      <c r="I22" s="1018"/>
      <c r="J22" s="1018"/>
      <c r="K22" s="1019"/>
    </row>
    <row r="23" spans="1:13" ht="14.45" customHeight="1" x14ac:dyDescent="0.2">
      <c r="A23" s="254">
        <v>15</v>
      </c>
      <c r="B23" s="351" t="s">
        <v>924</v>
      </c>
      <c r="C23" s="1017"/>
      <c r="D23" s="1018"/>
      <c r="E23" s="1018"/>
      <c r="F23" s="1018"/>
      <c r="G23" s="1018"/>
      <c r="H23" s="1018"/>
      <c r="I23" s="1018"/>
      <c r="J23" s="1018"/>
      <c r="K23" s="1019"/>
    </row>
    <row r="24" spans="1:13" ht="14.45" customHeight="1" x14ac:dyDescent="0.2">
      <c r="A24" s="254">
        <v>16</v>
      </c>
      <c r="B24" s="351" t="s">
        <v>890</v>
      </c>
      <c r="C24" s="1017"/>
      <c r="D24" s="1018"/>
      <c r="E24" s="1018"/>
      <c r="F24" s="1018"/>
      <c r="G24" s="1018"/>
      <c r="H24" s="1018"/>
      <c r="I24" s="1018"/>
      <c r="J24" s="1018"/>
      <c r="K24" s="1019"/>
    </row>
    <row r="25" spans="1:13" ht="14.45" customHeight="1" x14ac:dyDescent="0.2">
      <c r="A25" s="254">
        <v>17</v>
      </c>
      <c r="B25" s="351" t="s">
        <v>891</v>
      </c>
      <c r="C25" s="1017"/>
      <c r="D25" s="1018"/>
      <c r="E25" s="1018"/>
      <c r="F25" s="1018"/>
      <c r="G25" s="1018"/>
      <c r="H25" s="1018"/>
      <c r="I25" s="1018"/>
      <c r="J25" s="1018"/>
      <c r="K25" s="1019"/>
    </row>
    <row r="26" spans="1:13" ht="14.45" customHeight="1" x14ac:dyDescent="0.2">
      <c r="A26" s="254">
        <v>18</v>
      </c>
      <c r="B26" s="351" t="s">
        <v>892</v>
      </c>
      <c r="C26" s="1017"/>
      <c r="D26" s="1018"/>
      <c r="E26" s="1018"/>
      <c r="F26" s="1018"/>
      <c r="G26" s="1018"/>
      <c r="H26" s="1018"/>
      <c r="I26" s="1018"/>
      <c r="J26" s="1018"/>
      <c r="K26" s="1019"/>
    </row>
    <row r="27" spans="1:13" ht="14.45" customHeight="1" x14ac:dyDescent="0.2">
      <c r="A27" s="254">
        <v>19</v>
      </c>
      <c r="B27" s="351" t="s">
        <v>893</v>
      </c>
      <c r="C27" s="1017"/>
      <c r="D27" s="1018"/>
      <c r="E27" s="1018"/>
      <c r="F27" s="1018"/>
      <c r="G27" s="1018"/>
      <c r="H27" s="1018"/>
      <c r="I27" s="1018"/>
      <c r="J27" s="1018"/>
      <c r="K27" s="1019"/>
      <c r="M27" t="s">
        <v>10</v>
      </c>
    </row>
    <row r="28" spans="1:13" ht="14.45" customHeight="1" x14ac:dyDescent="0.2">
      <c r="A28" s="254">
        <v>20</v>
      </c>
      <c r="B28" s="351" t="s">
        <v>894</v>
      </c>
      <c r="C28" s="1017"/>
      <c r="D28" s="1018"/>
      <c r="E28" s="1018"/>
      <c r="F28" s="1018"/>
      <c r="G28" s="1018"/>
      <c r="H28" s="1018"/>
      <c r="I28" s="1018"/>
      <c r="J28" s="1018"/>
      <c r="K28" s="1019"/>
    </row>
    <row r="29" spans="1:13" ht="14.45" customHeight="1" x14ac:dyDescent="0.2">
      <c r="A29" s="254">
        <v>21</v>
      </c>
      <c r="B29" s="351" t="s">
        <v>925</v>
      </c>
      <c r="C29" s="1017"/>
      <c r="D29" s="1018"/>
      <c r="E29" s="1018"/>
      <c r="F29" s="1018"/>
      <c r="G29" s="1018"/>
      <c r="H29" s="1018"/>
      <c r="I29" s="1018"/>
      <c r="J29" s="1018"/>
      <c r="K29" s="1019"/>
    </row>
    <row r="30" spans="1:13" ht="14.45" customHeight="1" x14ac:dyDescent="0.2">
      <c r="A30" s="254">
        <v>22</v>
      </c>
      <c r="B30" s="351" t="s">
        <v>896</v>
      </c>
      <c r="C30" s="1017"/>
      <c r="D30" s="1018"/>
      <c r="E30" s="1018"/>
      <c r="F30" s="1018"/>
      <c r="G30" s="1018"/>
      <c r="H30" s="1018"/>
      <c r="I30" s="1018"/>
      <c r="J30" s="1018"/>
      <c r="K30" s="1019"/>
    </row>
    <row r="31" spans="1:13" ht="14.45" customHeight="1" x14ac:dyDescent="0.2">
      <c r="A31" s="254">
        <v>23</v>
      </c>
      <c r="B31" s="351" t="s">
        <v>926</v>
      </c>
      <c r="C31" s="1017"/>
      <c r="D31" s="1018"/>
      <c r="E31" s="1018"/>
      <c r="F31" s="1018"/>
      <c r="G31" s="1018"/>
      <c r="H31" s="1018"/>
      <c r="I31" s="1018"/>
      <c r="J31" s="1018"/>
      <c r="K31" s="1019"/>
    </row>
    <row r="32" spans="1:13" ht="14.45" customHeight="1" x14ac:dyDescent="0.2">
      <c r="A32" s="254">
        <v>24</v>
      </c>
      <c r="B32" s="351" t="s">
        <v>898</v>
      </c>
      <c r="C32" s="1017"/>
      <c r="D32" s="1018"/>
      <c r="E32" s="1018"/>
      <c r="F32" s="1018"/>
      <c r="G32" s="1018"/>
      <c r="H32" s="1018"/>
      <c r="I32" s="1018"/>
      <c r="J32" s="1018"/>
      <c r="K32" s="1019"/>
    </row>
    <row r="33" spans="1:11" ht="13.15" customHeight="1" x14ac:dyDescent="0.2">
      <c r="A33" s="733" t="s">
        <v>15</v>
      </c>
      <c r="B33" s="735"/>
      <c r="C33" s="1020"/>
      <c r="D33" s="1021"/>
      <c r="E33" s="1021"/>
      <c r="F33" s="1021"/>
      <c r="G33" s="1021"/>
      <c r="H33" s="1021"/>
      <c r="I33" s="1021"/>
      <c r="J33" s="1021"/>
      <c r="K33" s="1022"/>
    </row>
    <row r="34" spans="1:11" ht="18" x14ac:dyDescent="0.2">
      <c r="A34" s="11"/>
      <c r="B34" s="11"/>
      <c r="C34" s="558"/>
      <c r="D34" s="558"/>
      <c r="E34" s="558"/>
      <c r="F34" s="558"/>
      <c r="G34" s="558"/>
      <c r="H34" s="558"/>
      <c r="I34" s="558"/>
      <c r="J34" s="558"/>
      <c r="K34" s="558"/>
    </row>
    <row r="35" spans="1:11" ht="18" x14ac:dyDescent="0.2">
      <c r="A35" s="11"/>
      <c r="B35" s="11"/>
      <c r="C35" s="558"/>
      <c r="D35" s="558"/>
      <c r="E35" s="558"/>
      <c r="F35" s="558"/>
      <c r="G35" s="558"/>
      <c r="H35" s="558"/>
      <c r="I35" s="558"/>
      <c r="J35" s="558"/>
      <c r="K35" s="558"/>
    </row>
    <row r="36" spans="1:11" ht="18" x14ac:dyDescent="0.2">
      <c r="A36" s="11"/>
      <c r="B36" s="11"/>
      <c r="C36" s="558"/>
      <c r="D36" s="558"/>
      <c r="E36" s="558"/>
      <c r="F36" s="558"/>
      <c r="G36" s="558"/>
      <c r="H36" s="558"/>
      <c r="I36" s="558"/>
      <c r="J36" s="558"/>
      <c r="K36" s="558"/>
    </row>
    <row r="37" spans="1:11" x14ac:dyDescent="0.2">
      <c r="A37" s="186" t="s">
        <v>11</v>
      </c>
      <c r="B37" s="186"/>
      <c r="C37" s="186"/>
      <c r="D37" s="186"/>
      <c r="E37" s="186"/>
      <c r="F37" s="186"/>
      <c r="G37" s="865" t="s">
        <v>1107</v>
      </c>
      <c r="H37" s="865"/>
      <c r="I37" s="865"/>
      <c r="J37" s="865"/>
      <c r="K37" s="865"/>
    </row>
    <row r="38" spans="1:11" ht="13.15" customHeight="1" x14ac:dyDescent="0.2">
      <c r="A38" s="186"/>
      <c r="B38" s="186"/>
      <c r="C38" s="186"/>
      <c r="D38" s="186"/>
      <c r="E38" s="186"/>
      <c r="F38" s="186"/>
      <c r="G38" s="865" t="s">
        <v>1108</v>
      </c>
      <c r="H38" s="865"/>
      <c r="I38" s="865"/>
      <c r="J38" s="865"/>
      <c r="K38" s="865"/>
    </row>
    <row r="39" spans="1:11" ht="12.75" customHeight="1" x14ac:dyDescent="0.2">
      <c r="A39" s="669"/>
      <c r="B39" s="669"/>
      <c r="C39" s="669"/>
      <c r="D39" s="669"/>
      <c r="E39" s="669"/>
      <c r="F39" s="186"/>
      <c r="G39" s="669"/>
      <c r="H39" s="187" t="s">
        <v>1113</v>
      </c>
      <c r="I39" s="187"/>
      <c r="J39" s="187"/>
      <c r="K39" s="669"/>
    </row>
    <row r="40" spans="1:11" ht="12.75" customHeight="1" x14ac:dyDescent="0.2">
      <c r="A40" s="669"/>
      <c r="B40" s="669"/>
      <c r="C40" s="669"/>
      <c r="D40" s="669"/>
      <c r="E40" s="669"/>
      <c r="F40" s="669"/>
      <c r="G40" s="669"/>
      <c r="H40" s="188" t="s">
        <v>1110</v>
      </c>
      <c r="I40" s="188"/>
      <c r="J40" s="188"/>
      <c r="K40" s="669"/>
    </row>
  </sheetData>
  <mergeCells count="15">
    <mergeCell ref="F6:H6"/>
    <mergeCell ref="A33:B33"/>
    <mergeCell ref="C9:K33"/>
    <mergeCell ref="G37:K37"/>
    <mergeCell ref="G38:K38"/>
    <mergeCell ref="G5:K5"/>
    <mergeCell ref="A1:H1"/>
    <mergeCell ref="A2:H2"/>
    <mergeCell ref="A4:H4"/>
    <mergeCell ref="K6:K7"/>
    <mergeCell ref="I6:I7"/>
    <mergeCell ref="J6:J7"/>
    <mergeCell ref="A6:A7"/>
    <mergeCell ref="B6:B7"/>
    <mergeCell ref="C6:E6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topLeftCell="A7" zoomScale="70" zoomScaleNormal="85" zoomScaleSheetLayoutView="70" workbookViewId="0">
      <selection activeCell="F39" sqref="F39:J40"/>
    </sheetView>
  </sheetViews>
  <sheetFormatPr defaultRowHeight="12.75" x14ac:dyDescent="0.2"/>
  <cols>
    <col min="1" max="1" width="7.42578125" customWidth="1"/>
    <col min="2" max="2" width="17.28515625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</cols>
  <sheetData>
    <row r="1" spans="1:12" ht="15" x14ac:dyDescent="0.2">
      <c r="A1" s="80"/>
      <c r="B1" s="80"/>
      <c r="C1" s="80"/>
      <c r="D1" s="80"/>
      <c r="E1" s="80"/>
      <c r="F1" s="80"/>
      <c r="G1" s="80"/>
      <c r="H1" s="80"/>
      <c r="K1" s="871" t="s">
        <v>82</v>
      </c>
      <c r="L1" s="871"/>
    </row>
    <row r="2" spans="1:12" ht="15.75" x14ac:dyDescent="0.25">
      <c r="A2" s="1027" t="s">
        <v>0</v>
      </c>
      <c r="B2" s="1027"/>
      <c r="C2" s="1027"/>
      <c r="D2" s="1027"/>
      <c r="E2" s="1027"/>
      <c r="F2" s="1027"/>
      <c r="G2" s="1027"/>
      <c r="H2" s="1027"/>
      <c r="I2" s="80"/>
      <c r="J2" s="80"/>
      <c r="K2" s="80"/>
      <c r="L2" s="80"/>
    </row>
    <row r="3" spans="1:12" ht="20.25" x14ac:dyDescent="0.3">
      <c r="A3" s="844" t="s">
        <v>694</v>
      </c>
      <c r="B3" s="844"/>
      <c r="C3" s="844"/>
      <c r="D3" s="844"/>
      <c r="E3" s="844"/>
      <c r="F3" s="844"/>
      <c r="G3" s="844"/>
      <c r="H3" s="844"/>
      <c r="I3" s="80"/>
      <c r="J3" s="80"/>
      <c r="K3" s="80"/>
      <c r="L3" s="80"/>
    </row>
    <row r="4" spans="1:12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.75" x14ac:dyDescent="0.25">
      <c r="A5" s="845" t="s">
        <v>762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</row>
    <row r="6" spans="1:12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">
      <c r="A7" s="191" t="s">
        <v>1098</v>
      </c>
      <c r="B7" s="191"/>
      <c r="C7" s="80"/>
      <c r="D7" s="80"/>
      <c r="E7" s="80"/>
      <c r="F7" s="80"/>
      <c r="G7" s="80"/>
      <c r="H7" s="256"/>
      <c r="I7" s="80"/>
      <c r="J7" s="80"/>
      <c r="K7" s="80"/>
      <c r="L7" s="80"/>
    </row>
    <row r="8" spans="1:12" ht="18" x14ac:dyDescent="0.25">
      <c r="A8" s="83"/>
      <c r="B8" s="83"/>
      <c r="C8" s="80"/>
      <c r="D8" s="80"/>
      <c r="E8" s="80"/>
      <c r="F8" s="80"/>
      <c r="G8" s="80"/>
      <c r="H8" s="80"/>
      <c r="I8" s="105"/>
      <c r="J8" s="128"/>
      <c r="K8" s="870" t="s">
        <v>770</v>
      </c>
      <c r="L8" s="870"/>
    </row>
    <row r="9" spans="1:12" ht="27.75" customHeight="1" x14ac:dyDescent="0.2">
      <c r="A9" s="1025" t="s">
        <v>210</v>
      </c>
      <c r="B9" s="1025" t="s">
        <v>209</v>
      </c>
      <c r="C9" s="775" t="s">
        <v>483</v>
      </c>
      <c r="D9" s="775" t="s">
        <v>484</v>
      </c>
      <c r="E9" s="744" t="s">
        <v>485</v>
      </c>
      <c r="F9" s="744"/>
      <c r="G9" s="744" t="s">
        <v>440</v>
      </c>
      <c r="H9" s="744"/>
      <c r="I9" s="744" t="s">
        <v>220</v>
      </c>
      <c r="J9" s="744"/>
      <c r="K9" s="1029" t="s">
        <v>221</v>
      </c>
      <c r="L9" s="1029"/>
    </row>
    <row r="10" spans="1:12" ht="43.9" customHeight="1" x14ac:dyDescent="0.2">
      <c r="A10" s="1026"/>
      <c r="B10" s="1026"/>
      <c r="C10" s="775"/>
      <c r="D10" s="775"/>
      <c r="E10" s="5" t="s">
        <v>208</v>
      </c>
      <c r="F10" s="5" t="s">
        <v>191</v>
      </c>
      <c r="G10" s="5" t="s">
        <v>208</v>
      </c>
      <c r="H10" s="5" t="s">
        <v>191</v>
      </c>
      <c r="I10" s="5" t="s">
        <v>208</v>
      </c>
      <c r="J10" s="5" t="s">
        <v>191</v>
      </c>
      <c r="K10" s="5" t="s">
        <v>861</v>
      </c>
      <c r="L10" s="5" t="s">
        <v>860</v>
      </c>
    </row>
    <row r="11" spans="1:12" s="14" customFormat="1" x14ac:dyDescent="0.2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</row>
    <row r="12" spans="1:12" x14ac:dyDescent="0.2">
      <c r="A12" s="274">
        <v>1</v>
      </c>
      <c r="B12" s="351" t="s">
        <v>875</v>
      </c>
      <c r="C12" s="665">
        <v>2177</v>
      </c>
      <c r="D12" s="665">
        <v>164907</v>
      </c>
      <c r="E12" s="665">
        <v>1113</v>
      </c>
      <c r="F12" s="665">
        <v>85752</v>
      </c>
      <c r="G12" s="665">
        <v>569</v>
      </c>
      <c r="H12" s="665">
        <v>44591</v>
      </c>
      <c r="I12" s="665">
        <v>2177</v>
      </c>
      <c r="J12" s="665">
        <v>139068</v>
      </c>
      <c r="K12" s="665">
        <v>0</v>
      </c>
      <c r="L12" s="665">
        <v>0</v>
      </c>
    </row>
    <row r="13" spans="1:12" x14ac:dyDescent="0.2">
      <c r="A13" s="274">
        <v>2</v>
      </c>
      <c r="B13" s="351" t="s">
        <v>876</v>
      </c>
      <c r="C13" s="665">
        <v>996</v>
      </c>
      <c r="D13" s="665">
        <v>88160</v>
      </c>
      <c r="E13" s="665">
        <v>538</v>
      </c>
      <c r="F13" s="665">
        <v>57655</v>
      </c>
      <c r="G13" s="665">
        <v>804</v>
      </c>
      <c r="H13" s="665">
        <v>37018</v>
      </c>
      <c r="I13" s="665">
        <v>804</v>
      </c>
      <c r="J13" s="665">
        <v>37018</v>
      </c>
      <c r="K13" s="665">
        <v>0</v>
      </c>
      <c r="L13" s="665">
        <v>0</v>
      </c>
    </row>
    <row r="14" spans="1:12" x14ac:dyDescent="0.2">
      <c r="A14" s="274">
        <v>3</v>
      </c>
      <c r="B14" s="351" t="s">
        <v>877</v>
      </c>
      <c r="C14" s="665">
        <v>492</v>
      </c>
      <c r="D14" s="665">
        <v>62040</v>
      </c>
      <c r="E14" s="665">
        <v>81</v>
      </c>
      <c r="F14" s="665">
        <v>17427</v>
      </c>
      <c r="G14" s="665">
        <v>492</v>
      </c>
      <c r="H14" s="665">
        <v>21551</v>
      </c>
      <c r="I14" s="665">
        <v>492</v>
      </c>
      <c r="J14" s="665">
        <v>62035</v>
      </c>
      <c r="K14" s="665">
        <v>492</v>
      </c>
      <c r="L14" s="665">
        <v>0</v>
      </c>
    </row>
    <row r="15" spans="1:12" s="664" customFormat="1" x14ac:dyDescent="0.2">
      <c r="A15" s="274">
        <v>4</v>
      </c>
      <c r="B15" s="351" t="s">
        <v>878</v>
      </c>
      <c r="C15" s="665">
        <v>1731</v>
      </c>
      <c r="D15" s="665">
        <v>124053</v>
      </c>
      <c r="E15" s="665">
        <v>1731</v>
      </c>
      <c r="F15" s="665">
        <v>124053</v>
      </c>
      <c r="G15" s="665">
        <v>1731</v>
      </c>
      <c r="H15" s="665">
        <v>38779</v>
      </c>
      <c r="I15" s="665">
        <v>1731</v>
      </c>
      <c r="J15" s="665">
        <v>26490</v>
      </c>
      <c r="K15" s="665">
        <v>0</v>
      </c>
      <c r="L15" s="665">
        <v>0</v>
      </c>
    </row>
    <row r="16" spans="1:12" x14ac:dyDescent="0.2">
      <c r="A16" s="274">
        <v>5</v>
      </c>
      <c r="B16" s="351" t="s">
        <v>879</v>
      </c>
      <c r="C16" s="665">
        <v>968</v>
      </c>
      <c r="D16" s="665">
        <v>65758</v>
      </c>
      <c r="E16" s="665">
        <v>291</v>
      </c>
      <c r="F16" s="665">
        <v>8243</v>
      </c>
      <c r="G16" s="665">
        <v>382</v>
      </c>
      <c r="H16" s="665">
        <v>20278</v>
      </c>
      <c r="I16" s="665">
        <v>968</v>
      </c>
      <c r="J16" s="665">
        <v>86056</v>
      </c>
      <c r="K16" s="665">
        <v>0</v>
      </c>
      <c r="L16" s="665">
        <v>0</v>
      </c>
    </row>
    <row r="17" spans="1:12" x14ac:dyDescent="0.2">
      <c r="A17" s="274">
        <v>6</v>
      </c>
      <c r="B17" s="351" t="s">
        <v>880</v>
      </c>
      <c r="C17" s="665">
        <v>1620</v>
      </c>
      <c r="D17" s="665">
        <v>183369</v>
      </c>
      <c r="E17" s="665">
        <v>1469</v>
      </c>
      <c r="F17" s="665">
        <v>115843</v>
      </c>
      <c r="G17" s="665">
        <v>949</v>
      </c>
      <c r="H17" s="665">
        <v>267860</v>
      </c>
      <c r="I17" s="665">
        <v>1528</v>
      </c>
      <c r="J17" s="665">
        <v>175731</v>
      </c>
      <c r="K17" s="665">
        <v>125</v>
      </c>
      <c r="L17" s="665">
        <v>67</v>
      </c>
    </row>
    <row r="18" spans="1:12" x14ac:dyDescent="0.2">
      <c r="A18" s="274">
        <v>7</v>
      </c>
      <c r="B18" s="351" t="s">
        <v>923</v>
      </c>
      <c r="C18" s="665">
        <v>1381</v>
      </c>
      <c r="D18" s="665">
        <v>124611</v>
      </c>
      <c r="E18" s="665">
        <v>1381</v>
      </c>
      <c r="F18" s="665">
        <v>117391</v>
      </c>
      <c r="G18" s="665">
        <v>560</v>
      </c>
      <c r="H18" s="665">
        <v>21680</v>
      </c>
      <c r="I18" s="665">
        <v>1381</v>
      </c>
      <c r="J18" s="665">
        <v>124611</v>
      </c>
      <c r="K18" s="665"/>
      <c r="L18" s="665"/>
    </row>
    <row r="19" spans="1:12" x14ac:dyDescent="0.2">
      <c r="A19" s="274">
        <v>8</v>
      </c>
      <c r="B19" s="351" t="s">
        <v>882</v>
      </c>
      <c r="C19" s="665">
        <v>2066</v>
      </c>
      <c r="D19" s="665">
        <v>207486</v>
      </c>
      <c r="E19" s="665">
        <v>2066</v>
      </c>
      <c r="F19" s="665">
        <v>207657</v>
      </c>
      <c r="G19" s="665">
        <v>1038</v>
      </c>
      <c r="H19" s="665">
        <v>172145</v>
      </c>
      <c r="I19" s="665">
        <v>2066</v>
      </c>
      <c r="J19" s="665">
        <v>207657</v>
      </c>
      <c r="K19" s="665">
        <v>569</v>
      </c>
      <c r="L19" s="665">
        <v>125</v>
      </c>
    </row>
    <row r="20" spans="1:12" x14ac:dyDescent="0.2">
      <c r="A20" s="274">
        <v>9</v>
      </c>
      <c r="B20" s="351" t="s">
        <v>883</v>
      </c>
      <c r="C20" s="665">
        <v>2499</v>
      </c>
      <c r="D20" s="665">
        <v>361090</v>
      </c>
      <c r="E20" s="665">
        <v>249.9</v>
      </c>
      <c r="F20" s="665">
        <v>75820</v>
      </c>
      <c r="G20" s="665">
        <v>492</v>
      </c>
      <c r="H20" s="665">
        <v>75820</v>
      </c>
      <c r="I20" s="665">
        <v>522</v>
      </c>
      <c r="J20" s="665">
        <v>68610</v>
      </c>
      <c r="K20" s="665">
        <v>0</v>
      </c>
      <c r="L20" s="665">
        <v>0</v>
      </c>
    </row>
    <row r="21" spans="1:12" x14ac:dyDescent="0.2">
      <c r="A21" s="274">
        <v>10</v>
      </c>
      <c r="B21" s="351" t="s">
        <v>884</v>
      </c>
      <c r="C21" s="665">
        <v>1175</v>
      </c>
      <c r="D21" s="665">
        <v>141745</v>
      </c>
      <c r="E21" s="665">
        <v>427</v>
      </c>
      <c r="F21" s="665">
        <v>41306</v>
      </c>
      <c r="G21" s="665">
        <v>537</v>
      </c>
      <c r="H21" s="665">
        <v>45506</v>
      </c>
      <c r="I21" s="665">
        <v>1175</v>
      </c>
      <c r="J21" s="665">
        <v>141745</v>
      </c>
      <c r="K21" s="665">
        <v>0</v>
      </c>
      <c r="L21" s="665">
        <v>0</v>
      </c>
    </row>
    <row r="22" spans="1:12" x14ac:dyDescent="0.2">
      <c r="A22" s="274">
        <v>11</v>
      </c>
      <c r="B22" s="351" t="s">
        <v>885</v>
      </c>
      <c r="C22" s="665">
        <v>1420</v>
      </c>
      <c r="D22" s="665">
        <v>240720</v>
      </c>
      <c r="E22" s="665">
        <v>779</v>
      </c>
      <c r="F22" s="665">
        <v>98696</v>
      </c>
      <c r="G22" s="665">
        <v>570</v>
      </c>
      <c r="H22" s="665">
        <v>33555</v>
      </c>
      <c r="I22" s="665">
        <v>0</v>
      </c>
      <c r="J22" s="665">
        <v>0</v>
      </c>
      <c r="K22" s="665">
        <v>0</v>
      </c>
      <c r="L22" s="665">
        <v>0</v>
      </c>
    </row>
    <row r="23" spans="1:12" x14ac:dyDescent="0.2">
      <c r="A23" s="274">
        <v>12</v>
      </c>
      <c r="B23" s="351" t="s">
        <v>886</v>
      </c>
      <c r="C23" s="665">
        <v>1479</v>
      </c>
      <c r="D23" s="665">
        <v>124408</v>
      </c>
      <c r="E23" s="665">
        <v>965</v>
      </c>
      <c r="F23" s="665">
        <v>93228</v>
      </c>
      <c r="G23" s="665">
        <v>862</v>
      </c>
      <c r="H23" s="665">
        <v>87315</v>
      </c>
      <c r="I23" s="665">
        <v>1364</v>
      </c>
      <c r="J23" s="665">
        <v>168462</v>
      </c>
      <c r="K23" s="665">
        <v>1051</v>
      </c>
      <c r="L23" s="665">
        <v>225</v>
      </c>
    </row>
    <row r="24" spans="1:12" x14ac:dyDescent="0.2">
      <c r="A24" s="274">
        <v>13</v>
      </c>
      <c r="B24" s="351" t="s">
        <v>887</v>
      </c>
      <c r="C24" s="665">
        <v>587</v>
      </c>
      <c r="D24" s="665">
        <v>87674</v>
      </c>
      <c r="E24" s="665">
        <v>206</v>
      </c>
      <c r="F24" s="665">
        <v>25295</v>
      </c>
      <c r="G24" s="665">
        <v>257</v>
      </c>
      <c r="H24" s="665">
        <v>26499</v>
      </c>
      <c r="I24" s="665">
        <v>700</v>
      </c>
      <c r="J24" s="665">
        <v>78166</v>
      </c>
      <c r="K24" s="665"/>
      <c r="L24" s="665"/>
    </row>
    <row r="25" spans="1:12" x14ac:dyDescent="0.2">
      <c r="A25" s="274">
        <v>14</v>
      </c>
      <c r="B25" s="351" t="s">
        <v>888</v>
      </c>
      <c r="C25" s="665">
        <v>659</v>
      </c>
      <c r="D25" s="665">
        <v>94727</v>
      </c>
      <c r="E25" s="665">
        <v>162</v>
      </c>
      <c r="F25" s="665">
        <v>18564</v>
      </c>
      <c r="G25" s="665">
        <v>296</v>
      </c>
      <c r="H25" s="665">
        <v>32739</v>
      </c>
      <c r="I25" s="665">
        <v>659</v>
      </c>
      <c r="J25" s="665">
        <v>94727</v>
      </c>
      <c r="K25" s="665">
        <v>0</v>
      </c>
      <c r="L25" s="665">
        <v>0</v>
      </c>
    </row>
    <row r="26" spans="1:12" x14ac:dyDescent="0.2">
      <c r="A26" s="274">
        <v>15</v>
      </c>
      <c r="B26" s="351" t="s">
        <v>924</v>
      </c>
      <c r="C26" s="665">
        <v>1509</v>
      </c>
      <c r="D26" s="665">
        <v>96095</v>
      </c>
      <c r="E26" s="665">
        <v>1509</v>
      </c>
      <c r="F26" s="665">
        <v>96095</v>
      </c>
      <c r="G26" s="665">
        <v>795</v>
      </c>
      <c r="H26" s="665">
        <v>45223.5</v>
      </c>
      <c r="I26" s="665">
        <v>1509</v>
      </c>
      <c r="J26" s="665">
        <v>96095</v>
      </c>
      <c r="K26" s="665">
        <v>1509</v>
      </c>
      <c r="L26" s="665">
        <v>0</v>
      </c>
    </row>
    <row r="27" spans="1:12" x14ac:dyDescent="0.2">
      <c r="A27" s="274">
        <v>16</v>
      </c>
      <c r="B27" s="351" t="s">
        <v>890</v>
      </c>
      <c r="C27" s="665">
        <v>2927</v>
      </c>
      <c r="D27" s="665">
        <v>320912</v>
      </c>
      <c r="E27" s="665">
        <v>1253</v>
      </c>
      <c r="F27" s="665">
        <v>128897</v>
      </c>
      <c r="G27" s="665">
        <v>1317</v>
      </c>
      <c r="H27" s="665">
        <v>128473</v>
      </c>
      <c r="I27" s="665">
        <v>2927</v>
      </c>
      <c r="J27" s="665">
        <v>320912</v>
      </c>
      <c r="K27" s="665">
        <v>12</v>
      </c>
      <c r="L27" s="665">
        <v>12</v>
      </c>
    </row>
    <row r="28" spans="1:12" x14ac:dyDescent="0.2">
      <c r="A28" s="274">
        <v>17</v>
      </c>
      <c r="B28" s="351" t="s">
        <v>891</v>
      </c>
      <c r="C28" s="665">
        <v>978</v>
      </c>
      <c r="D28" s="665">
        <v>69080</v>
      </c>
      <c r="E28" s="665">
        <v>685</v>
      </c>
      <c r="F28" s="665">
        <v>48349</v>
      </c>
      <c r="G28" s="665">
        <v>599</v>
      </c>
      <c r="H28" s="665">
        <v>47817</v>
      </c>
      <c r="I28" s="665">
        <v>578</v>
      </c>
      <c r="J28" s="665">
        <v>46554</v>
      </c>
      <c r="K28" s="665">
        <v>0</v>
      </c>
      <c r="L28" s="665">
        <v>0</v>
      </c>
    </row>
    <row r="29" spans="1:12" x14ac:dyDescent="0.2">
      <c r="A29" s="274">
        <v>18</v>
      </c>
      <c r="B29" s="351" t="s">
        <v>892</v>
      </c>
      <c r="C29" s="665">
        <v>1208</v>
      </c>
      <c r="D29" s="665">
        <v>130647</v>
      </c>
      <c r="E29" s="665">
        <v>616</v>
      </c>
      <c r="F29" s="665">
        <v>59353</v>
      </c>
      <c r="G29" s="665">
        <v>755</v>
      </c>
      <c r="H29" s="665">
        <v>79817</v>
      </c>
      <c r="I29" s="665">
        <v>1466</v>
      </c>
      <c r="J29" s="665">
        <v>194784</v>
      </c>
      <c r="K29" s="665">
        <v>188</v>
      </c>
      <c r="L29" s="665">
        <v>113</v>
      </c>
    </row>
    <row r="30" spans="1:12" s="664" customFormat="1" x14ac:dyDescent="0.2">
      <c r="A30" s="274">
        <v>19</v>
      </c>
      <c r="B30" s="351" t="s">
        <v>893</v>
      </c>
      <c r="C30" s="665">
        <v>335</v>
      </c>
      <c r="D30" s="665">
        <v>154165</v>
      </c>
      <c r="E30" s="665">
        <v>335</v>
      </c>
      <c r="F30" s="665">
        <v>154165</v>
      </c>
      <c r="G30" s="665">
        <v>335</v>
      </c>
      <c r="H30" s="665">
        <v>27869</v>
      </c>
      <c r="I30" s="665">
        <v>264</v>
      </c>
      <c r="J30" s="665">
        <v>104830</v>
      </c>
      <c r="K30" s="665">
        <v>272</v>
      </c>
      <c r="L30" s="665">
        <v>548</v>
      </c>
    </row>
    <row r="31" spans="1:12" x14ac:dyDescent="0.2">
      <c r="A31" s="274">
        <v>20</v>
      </c>
      <c r="B31" s="351" t="s">
        <v>894</v>
      </c>
      <c r="C31" s="665">
        <v>1015</v>
      </c>
      <c r="D31" s="665">
        <v>70919</v>
      </c>
      <c r="E31" s="665">
        <v>492</v>
      </c>
      <c r="F31" s="665">
        <v>27297</v>
      </c>
      <c r="G31" s="665">
        <v>1015</v>
      </c>
      <c r="H31" s="665">
        <v>70484</v>
      </c>
      <c r="I31" s="665">
        <v>1015</v>
      </c>
      <c r="J31" s="665">
        <v>94037</v>
      </c>
      <c r="K31" s="665">
        <v>1015</v>
      </c>
      <c r="L31" s="665">
        <v>0</v>
      </c>
    </row>
    <row r="32" spans="1:12" x14ac:dyDescent="0.2">
      <c r="A32" s="274">
        <v>21</v>
      </c>
      <c r="B32" s="351" t="s">
        <v>925</v>
      </c>
      <c r="C32" s="665">
        <v>1286</v>
      </c>
      <c r="D32" s="665">
        <v>166333.11111111112</v>
      </c>
      <c r="E32" s="665">
        <v>355</v>
      </c>
      <c r="F32" s="665">
        <v>31047</v>
      </c>
      <c r="G32" s="665">
        <v>1286</v>
      </c>
      <c r="H32" s="665">
        <v>50574</v>
      </c>
      <c r="I32" s="665">
        <v>1286</v>
      </c>
      <c r="J32" s="665">
        <v>166333.11111111112</v>
      </c>
      <c r="K32" s="665">
        <v>1286</v>
      </c>
      <c r="L32" s="665">
        <v>0</v>
      </c>
    </row>
    <row r="33" spans="1:12" x14ac:dyDescent="0.2">
      <c r="A33" s="274">
        <v>22</v>
      </c>
      <c r="B33" s="351" t="s">
        <v>896</v>
      </c>
      <c r="C33" s="665">
        <v>1011</v>
      </c>
      <c r="D33" s="665">
        <v>143632</v>
      </c>
      <c r="E33" s="665">
        <v>649</v>
      </c>
      <c r="F33" s="665">
        <v>87615.52</v>
      </c>
      <c r="G33" s="665">
        <v>390</v>
      </c>
      <c r="H33" s="665">
        <v>51707.519999999997</v>
      </c>
      <c r="I33" s="665">
        <v>277</v>
      </c>
      <c r="J33" s="665">
        <v>37344.320000000007</v>
      </c>
      <c r="K33" s="665">
        <v>84</v>
      </c>
      <c r="L33" s="665">
        <v>114</v>
      </c>
    </row>
    <row r="34" spans="1:12" x14ac:dyDescent="0.2">
      <c r="A34" s="274">
        <v>23</v>
      </c>
      <c r="B34" s="351" t="s">
        <v>926</v>
      </c>
      <c r="C34" s="665">
        <v>1540</v>
      </c>
      <c r="D34" s="665">
        <v>127035</v>
      </c>
      <c r="E34" s="665">
        <v>1540</v>
      </c>
      <c r="F34" s="665">
        <v>52128</v>
      </c>
      <c r="G34" s="665">
        <v>1540</v>
      </c>
      <c r="H34" s="665">
        <v>66697</v>
      </c>
      <c r="I34" s="665">
        <v>1540</v>
      </c>
      <c r="J34" s="665">
        <v>66697</v>
      </c>
      <c r="K34" s="665">
        <v>0</v>
      </c>
      <c r="L34" s="665">
        <v>0</v>
      </c>
    </row>
    <row r="35" spans="1:12" s="664" customFormat="1" x14ac:dyDescent="0.2">
      <c r="A35" s="274">
        <v>24</v>
      </c>
      <c r="B35" s="351" t="s">
        <v>898</v>
      </c>
      <c r="C35" s="665">
        <v>434</v>
      </c>
      <c r="D35" s="665">
        <v>150882</v>
      </c>
      <c r="E35" s="665">
        <v>434</v>
      </c>
      <c r="F35" s="665">
        <v>150882</v>
      </c>
      <c r="G35" s="665">
        <v>304</v>
      </c>
      <c r="H35" s="665">
        <v>27659</v>
      </c>
      <c r="I35" s="665">
        <v>284</v>
      </c>
      <c r="J35" s="665">
        <v>118448</v>
      </c>
      <c r="K35" s="665">
        <v>254</v>
      </c>
      <c r="L35" s="665">
        <v>530</v>
      </c>
    </row>
    <row r="36" spans="1:12" s="14" customFormat="1" x14ac:dyDescent="0.2">
      <c r="A36" s="1023" t="s">
        <v>15</v>
      </c>
      <c r="B36" s="1024"/>
      <c r="C36" s="432">
        <f t="shared" ref="C36:L36" si="0">SUM(C12:C35)</f>
        <v>31493</v>
      </c>
      <c r="D36" s="432">
        <f t="shared" si="0"/>
        <v>3500448.111111111</v>
      </c>
      <c r="E36" s="432">
        <f t="shared" si="0"/>
        <v>19326.900000000001</v>
      </c>
      <c r="F36" s="432">
        <f t="shared" si="0"/>
        <v>1922758.52</v>
      </c>
      <c r="G36" s="432">
        <f t="shared" si="0"/>
        <v>17875</v>
      </c>
      <c r="H36" s="432">
        <f t="shared" si="0"/>
        <v>1521657.02</v>
      </c>
      <c r="I36" s="432">
        <f t="shared" si="0"/>
        <v>26713</v>
      </c>
      <c r="J36" s="432">
        <f t="shared" si="0"/>
        <v>2656410.4311111108</v>
      </c>
      <c r="K36" s="432">
        <f t="shared" si="0"/>
        <v>6857</v>
      </c>
      <c r="L36" s="432">
        <f t="shared" si="0"/>
        <v>1734</v>
      </c>
    </row>
    <row r="37" spans="1:12" x14ac:dyDescent="0.2">
      <c r="A37" s="89"/>
      <c r="B37" s="89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x14ac:dyDescent="0.2">
      <c r="A39" s="80"/>
      <c r="B39" s="80"/>
      <c r="C39" s="80"/>
      <c r="D39" s="80"/>
      <c r="E39" s="80">
        <v>4402797</v>
      </c>
      <c r="F39" s="666">
        <f>F36/E39</f>
        <v>0.43671296223741407</v>
      </c>
      <c r="G39" s="666"/>
      <c r="H39" s="666">
        <f>H36/E39</f>
        <v>0.34561144199925636</v>
      </c>
      <c r="I39" s="666"/>
      <c r="J39" s="666">
        <f>J36/E39</f>
        <v>0.60334610728387228</v>
      </c>
      <c r="K39" s="80"/>
      <c r="L39" s="80"/>
    </row>
    <row r="40" spans="1:12" x14ac:dyDescent="0.2">
      <c r="F40" s="708"/>
      <c r="G40" s="708"/>
      <c r="H40" s="708"/>
      <c r="I40" s="708"/>
      <c r="J40" s="708"/>
    </row>
    <row r="41" spans="1:12" ht="15.75" x14ac:dyDescent="0.25">
      <c r="A41" s="673" t="s">
        <v>11</v>
      </c>
      <c r="B41" s="673"/>
      <c r="C41" s="673"/>
      <c r="D41" s="673"/>
      <c r="E41" s="673"/>
      <c r="F41" s="673"/>
      <c r="G41" s="673"/>
      <c r="H41" s="673"/>
      <c r="I41" s="1028"/>
      <c r="J41" s="1028"/>
      <c r="K41" s="335"/>
      <c r="L41" s="335"/>
    </row>
    <row r="42" spans="1:12" ht="12.75" customHeight="1" x14ac:dyDescent="0.2">
      <c r="A42" s="857" t="s">
        <v>1108</v>
      </c>
      <c r="B42" s="857"/>
      <c r="C42" s="857"/>
      <c r="D42" s="857"/>
      <c r="E42" s="857"/>
      <c r="F42" s="857"/>
      <c r="G42" s="857"/>
      <c r="H42" s="857"/>
      <c r="I42" s="857"/>
      <c r="J42" s="857"/>
      <c r="K42" s="567"/>
      <c r="L42" s="80"/>
    </row>
    <row r="43" spans="1:12" ht="12.75" customHeight="1" x14ac:dyDescent="0.2">
      <c r="A43" s="857" t="s">
        <v>1112</v>
      </c>
      <c r="B43" s="857"/>
      <c r="C43" s="857"/>
      <c r="D43" s="857"/>
      <c r="E43" s="857"/>
      <c r="F43" s="857"/>
      <c r="G43" s="857"/>
      <c r="H43" s="857"/>
      <c r="I43" s="857"/>
      <c r="J43" s="857"/>
      <c r="K43" s="567"/>
      <c r="L43" s="80"/>
    </row>
    <row r="44" spans="1:12" ht="15.75" customHeight="1" x14ac:dyDescent="0.2">
      <c r="A44" s="80"/>
      <c r="B44" s="80"/>
      <c r="C44" s="80"/>
      <c r="D44" s="80"/>
      <c r="E44" s="80"/>
      <c r="F44" s="80"/>
      <c r="G44" s="669"/>
      <c r="H44" s="669"/>
      <c r="I44" s="679" t="s">
        <v>1110</v>
      </c>
      <c r="J44" s="679"/>
      <c r="K44" s="567"/>
      <c r="L44" s="80"/>
    </row>
  </sheetData>
  <mergeCells count="17">
    <mergeCell ref="I41:J41"/>
    <mergeCell ref="A43:J43"/>
    <mergeCell ref="A42:J42"/>
    <mergeCell ref="K1:L1"/>
    <mergeCell ref="G9:H9"/>
    <mergeCell ref="D9:D10"/>
    <mergeCell ref="E9:F9"/>
    <mergeCell ref="I9:J9"/>
    <mergeCell ref="K9:L9"/>
    <mergeCell ref="K8:L8"/>
    <mergeCell ref="A36:B36"/>
    <mergeCell ref="B9:B10"/>
    <mergeCell ref="A9:A10"/>
    <mergeCell ref="C9:C10"/>
    <mergeCell ref="A2:H2"/>
    <mergeCell ref="A3:H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view="pageBreakPreview" topLeftCell="A16" zoomScaleNormal="100" zoomScaleSheetLayoutView="100" workbookViewId="0">
      <selection activeCell="K38" sqref="K38"/>
    </sheetView>
  </sheetViews>
  <sheetFormatPr defaultColWidth="8.85546875" defaultRowHeight="12.75" x14ac:dyDescent="0.2"/>
  <cols>
    <col min="1" max="1" width="11.140625" style="80" customWidth="1"/>
    <col min="2" max="2" width="19.140625" style="80" customWidth="1"/>
    <col min="3" max="3" width="20.5703125" style="80" customWidth="1"/>
    <col min="4" max="4" width="22.28515625" style="80" customWidth="1"/>
    <col min="5" max="5" width="24.42578125" style="80" customWidth="1"/>
    <col min="6" max="6" width="24.28515625" style="80" customWidth="1"/>
    <col min="7" max="16384" width="8.85546875" style="80"/>
  </cols>
  <sheetData>
    <row r="1" spans="1:7" ht="12.75" customHeight="1" x14ac:dyDescent="0.2">
      <c r="D1" s="243"/>
      <c r="E1" s="243"/>
      <c r="F1" s="244" t="s">
        <v>94</v>
      </c>
    </row>
    <row r="2" spans="1:7" ht="15" customHeight="1" x14ac:dyDescent="0.25">
      <c r="B2" s="1027" t="s">
        <v>0</v>
      </c>
      <c r="C2" s="1027"/>
      <c r="D2" s="1027"/>
      <c r="E2" s="1027"/>
      <c r="F2" s="1027"/>
    </row>
    <row r="3" spans="1:7" ht="20.25" x14ac:dyDescent="0.3">
      <c r="B3" s="844" t="s">
        <v>694</v>
      </c>
      <c r="C3" s="844"/>
      <c r="D3" s="844"/>
      <c r="E3" s="844"/>
      <c r="F3" s="844"/>
    </row>
    <row r="5" spans="1:7" x14ac:dyDescent="0.2">
      <c r="A5" s="1030" t="s">
        <v>437</v>
      </c>
      <c r="B5" s="1030"/>
      <c r="C5" s="1030"/>
      <c r="D5" s="1030"/>
      <c r="E5" s="1030"/>
      <c r="F5" s="1030"/>
    </row>
    <row r="6" spans="1:7" ht="15.75" x14ac:dyDescent="0.25">
      <c r="A6" s="82"/>
      <c r="B6" s="82"/>
      <c r="C6" s="82"/>
      <c r="D6" s="82"/>
      <c r="E6" s="82"/>
      <c r="F6" s="82"/>
    </row>
    <row r="7" spans="1:7" x14ac:dyDescent="0.2">
      <c r="A7" s="191" t="s">
        <v>1098</v>
      </c>
      <c r="B7" s="191"/>
    </row>
    <row r="8" spans="1:7" ht="18" x14ac:dyDescent="0.25">
      <c r="A8" s="83"/>
    </row>
    <row r="9" spans="1:7" ht="30.6" customHeight="1" x14ac:dyDescent="0.2">
      <c r="A9" s="1025" t="s">
        <v>1</v>
      </c>
      <c r="B9" s="1025" t="s">
        <v>2</v>
      </c>
      <c r="C9" s="1031" t="s">
        <v>433</v>
      </c>
      <c r="D9" s="1032"/>
      <c r="E9" s="1033" t="s">
        <v>436</v>
      </c>
      <c r="F9" s="1033"/>
    </row>
    <row r="10" spans="1:7" s="92" customFormat="1" ht="25.5" x14ac:dyDescent="0.2">
      <c r="A10" s="1025"/>
      <c r="B10" s="1025"/>
      <c r="C10" s="84" t="s">
        <v>434</v>
      </c>
      <c r="D10" s="84" t="s">
        <v>435</v>
      </c>
      <c r="E10" s="84" t="s">
        <v>434</v>
      </c>
      <c r="F10" s="84" t="s">
        <v>435</v>
      </c>
      <c r="G10" s="114"/>
    </row>
    <row r="11" spans="1:7" s="158" customFormat="1" x14ac:dyDescent="0.2">
      <c r="A11" s="284">
        <v>1</v>
      </c>
      <c r="B11" s="284">
        <v>2</v>
      </c>
      <c r="C11" s="284">
        <v>3</v>
      </c>
      <c r="D11" s="284">
        <v>4</v>
      </c>
      <c r="E11" s="284">
        <v>5</v>
      </c>
      <c r="F11" s="284">
        <v>6</v>
      </c>
    </row>
    <row r="12" spans="1:7" x14ac:dyDescent="0.2">
      <c r="A12" s="86">
        <v>1</v>
      </c>
      <c r="B12" s="351" t="s">
        <v>875</v>
      </c>
      <c r="C12" s="87">
        <f>'AT3A_cvrg(Insti)_PY'!L12</f>
        <v>1332</v>
      </c>
      <c r="D12" s="87">
        <f>C12</f>
        <v>1332</v>
      </c>
      <c r="E12" s="87">
        <f>'AT3B_cvrg(Insti)_UPY '!L11+'AT3C_cvrg(Insti)_UPY '!L11</f>
        <v>845</v>
      </c>
      <c r="F12" s="87">
        <f>E12</f>
        <v>845</v>
      </c>
    </row>
    <row r="13" spans="1:7" x14ac:dyDescent="0.2">
      <c r="A13" s="86">
        <v>2</v>
      </c>
      <c r="B13" s="351" t="s">
        <v>876</v>
      </c>
      <c r="C13" s="87">
        <f>'AT3A_cvrg(Insti)_PY'!L13</f>
        <v>549</v>
      </c>
      <c r="D13" s="87">
        <f t="shared" ref="D13:D35" si="0">C13</f>
        <v>549</v>
      </c>
      <c r="E13" s="87">
        <f>'AT3B_cvrg(Insti)_UPY '!L12+'AT3C_cvrg(Insti)_UPY '!L12</f>
        <v>319</v>
      </c>
      <c r="F13" s="87">
        <f t="shared" ref="F13:F35" si="1">E13</f>
        <v>319</v>
      </c>
    </row>
    <row r="14" spans="1:7" x14ac:dyDescent="0.2">
      <c r="A14" s="86">
        <v>3</v>
      </c>
      <c r="B14" s="351" t="s">
        <v>877</v>
      </c>
      <c r="C14" s="87">
        <f>'AT3A_cvrg(Insti)_PY'!L14</f>
        <v>290</v>
      </c>
      <c r="D14" s="87">
        <f t="shared" si="0"/>
        <v>290</v>
      </c>
      <c r="E14" s="87">
        <f>'AT3B_cvrg(Insti)_UPY '!L13+'AT3C_cvrg(Insti)_UPY '!L13</f>
        <v>201</v>
      </c>
      <c r="F14" s="87">
        <f t="shared" si="1"/>
        <v>201</v>
      </c>
    </row>
    <row r="15" spans="1:7" x14ac:dyDescent="0.2">
      <c r="A15" s="86">
        <v>4</v>
      </c>
      <c r="B15" s="351" t="s">
        <v>878</v>
      </c>
      <c r="C15" s="87">
        <f>'AT3A_cvrg(Insti)_PY'!L15</f>
        <v>919</v>
      </c>
      <c r="D15" s="87">
        <f t="shared" si="0"/>
        <v>919</v>
      </c>
      <c r="E15" s="87">
        <f>'AT3B_cvrg(Insti)_UPY '!L14+'AT3C_cvrg(Insti)_UPY '!L14</f>
        <v>600</v>
      </c>
      <c r="F15" s="87">
        <f t="shared" si="1"/>
        <v>600</v>
      </c>
    </row>
    <row r="16" spans="1:7" x14ac:dyDescent="0.2">
      <c r="A16" s="86">
        <v>5</v>
      </c>
      <c r="B16" s="351" t="s">
        <v>879</v>
      </c>
      <c r="C16" s="87">
        <f>'AT3A_cvrg(Insti)_PY'!L16</f>
        <v>586</v>
      </c>
      <c r="D16" s="87">
        <f t="shared" si="0"/>
        <v>586</v>
      </c>
      <c r="E16" s="87">
        <f>'AT3B_cvrg(Insti)_UPY '!L15+'AT3C_cvrg(Insti)_UPY '!L15</f>
        <v>382</v>
      </c>
      <c r="F16" s="87">
        <f t="shared" si="1"/>
        <v>382</v>
      </c>
    </row>
    <row r="17" spans="1:6" x14ac:dyDescent="0.2">
      <c r="A17" s="86">
        <v>6</v>
      </c>
      <c r="B17" s="351" t="s">
        <v>880</v>
      </c>
      <c r="C17" s="87">
        <f>'AT3A_cvrg(Insti)_PY'!L17</f>
        <v>966</v>
      </c>
      <c r="D17" s="87">
        <f t="shared" si="0"/>
        <v>966</v>
      </c>
      <c r="E17" s="87">
        <f>'AT3B_cvrg(Insti)_UPY '!L16+'AT3C_cvrg(Insti)_UPY '!L16</f>
        <v>654</v>
      </c>
      <c r="F17" s="87">
        <f t="shared" si="1"/>
        <v>654</v>
      </c>
    </row>
    <row r="18" spans="1:6" x14ac:dyDescent="0.2">
      <c r="A18" s="86">
        <v>7</v>
      </c>
      <c r="B18" s="351" t="s">
        <v>923</v>
      </c>
      <c r="C18" s="87">
        <f>'AT3A_cvrg(Insti)_PY'!L18</f>
        <v>821</v>
      </c>
      <c r="D18" s="87">
        <f t="shared" si="0"/>
        <v>821</v>
      </c>
      <c r="E18" s="87">
        <f>'AT3B_cvrg(Insti)_UPY '!L17+'AT3C_cvrg(Insti)_UPY '!L17</f>
        <v>560</v>
      </c>
      <c r="F18" s="87">
        <f t="shared" si="1"/>
        <v>560</v>
      </c>
    </row>
    <row r="19" spans="1:6" x14ac:dyDescent="0.2">
      <c r="A19" s="86">
        <v>8</v>
      </c>
      <c r="B19" s="351" t="s">
        <v>882</v>
      </c>
      <c r="C19" s="87">
        <f>'AT3A_cvrg(Insti)_PY'!L19</f>
        <v>1379</v>
      </c>
      <c r="D19" s="87">
        <f t="shared" si="0"/>
        <v>1379</v>
      </c>
      <c r="E19" s="87">
        <f>'AT3B_cvrg(Insti)_UPY '!L18+'AT3C_cvrg(Insti)_UPY '!L18</f>
        <v>687</v>
      </c>
      <c r="F19" s="87">
        <f t="shared" si="1"/>
        <v>687</v>
      </c>
    </row>
    <row r="20" spans="1:6" x14ac:dyDescent="0.2">
      <c r="A20" s="86">
        <v>9</v>
      </c>
      <c r="B20" s="351" t="s">
        <v>883</v>
      </c>
      <c r="C20" s="87">
        <f>'AT3A_cvrg(Insti)_PY'!L20</f>
        <v>1203</v>
      </c>
      <c r="D20" s="87">
        <f t="shared" si="0"/>
        <v>1203</v>
      </c>
      <c r="E20" s="87">
        <f>'AT3B_cvrg(Insti)_UPY '!L19+'AT3C_cvrg(Insti)_UPY '!L19</f>
        <v>1296</v>
      </c>
      <c r="F20" s="87">
        <f t="shared" si="1"/>
        <v>1296</v>
      </c>
    </row>
    <row r="21" spans="1:6" x14ac:dyDescent="0.2">
      <c r="A21" s="86">
        <v>10</v>
      </c>
      <c r="B21" s="351" t="s">
        <v>884</v>
      </c>
      <c r="C21" s="87">
        <f>'AT3A_cvrg(Insti)_PY'!L21</f>
        <v>632</v>
      </c>
      <c r="D21" s="87">
        <f t="shared" si="0"/>
        <v>632</v>
      </c>
      <c r="E21" s="87">
        <f>'AT3B_cvrg(Insti)_UPY '!L20+'AT3C_cvrg(Insti)_UPY '!L20</f>
        <v>405</v>
      </c>
      <c r="F21" s="87">
        <f t="shared" si="1"/>
        <v>405</v>
      </c>
    </row>
    <row r="22" spans="1:6" x14ac:dyDescent="0.2">
      <c r="A22" s="86">
        <v>11</v>
      </c>
      <c r="B22" s="351" t="s">
        <v>885</v>
      </c>
      <c r="C22" s="87">
        <f>'AT3A_cvrg(Insti)_PY'!L22</f>
        <v>980</v>
      </c>
      <c r="D22" s="87">
        <f t="shared" si="0"/>
        <v>980</v>
      </c>
      <c r="E22" s="87">
        <f>'AT3B_cvrg(Insti)_UPY '!L21+'AT3C_cvrg(Insti)_UPY '!L21</f>
        <v>440</v>
      </c>
      <c r="F22" s="87">
        <f t="shared" si="1"/>
        <v>440</v>
      </c>
    </row>
    <row r="23" spans="1:6" x14ac:dyDescent="0.2">
      <c r="A23" s="86">
        <v>12</v>
      </c>
      <c r="B23" s="351" t="s">
        <v>886</v>
      </c>
      <c r="C23" s="87">
        <f>'AT3A_cvrg(Insti)_PY'!L23</f>
        <v>899</v>
      </c>
      <c r="D23" s="87">
        <f t="shared" si="0"/>
        <v>899</v>
      </c>
      <c r="E23" s="87">
        <f>'AT3B_cvrg(Insti)_UPY '!L22+'AT3C_cvrg(Insti)_UPY '!L22</f>
        <v>580</v>
      </c>
      <c r="F23" s="87">
        <f t="shared" si="1"/>
        <v>580</v>
      </c>
    </row>
    <row r="24" spans="1:6" x14ac:dyDescent="0.2">
      <c r="A24" s="86">
        <v>13</v>
      </c>
      <c r="B24" s="351" t="s">
        <v>887</v>
      </c>
      <c r="C24" s="87">
        <f>'AT3A_cvrg(Insti)_PY'!L24</f>
        <v>347</v>
      </c>
      <c r="D24" s="87">
        <f t="shared" si="0"/>
        <v>347</v>
      </c>
      <c r="E24" s="87">
        <f>'AT3B_cvrg(Insti)_UPY '!L23+'AT3C_cvrg(Insti)_UPY '!L23</f>
        <v>240</v>
      </c>
      <c r="F24" s="87">
        <f t="shared" si="1"/>
        <v>240</v>
      </c>
    </row>
    <row r="25" spans="1:6" x14ac:dyDescent="0.2">
      <c r="A25" s="86">
        <v>14</v>
      </c>
      <c r="B25" s="351" t="s">
        <v>888</v>
      </c>
      <c r="C25" s="87">
        <f>'AT3A_cvrg(Insti)_PY'!L25</f>
        <v>363</v>
      </c>
      <c r="D25" s="87">
        <f t="shared" si="0"/>
        <v>363</v>
      </c>
      <c r="E25" s="87">
        <f>'AT3B_cvrg(Insti)_UPY '!L24+'AT3C_cvrg(Insti)_UPY '!L24</f>
        <v>296</v>
      </c>
      <c r="F25" s="87">
        <f t="shared" si="1"/>
        <v>296</v>
      </c>
    </row>
    <row r="26" spans="1:6" x14ac:dyDescent="0.2">
      <c r="A26" s="86">
        <v>15</v>
      </c>
      <c r="B26" s="351" t="s">
        <v>924</v>
      </c>
      <c r="C26" s="87">
        <f>'AT3A_cvrg(Insti)_PY'!L26</f>
        <v>895</v>
      </c>
      <c r="D26" s="87">
        <f t="shared" si="0"/>
        <v>895</v>
      </c>
      <c r="E26" s="87">
        <f>'AT3B_cvrg(Insti)_UPY '!L25+'AT3C_cvrg(Insti)_UPY '!L25</f>
        <v>644</v>
      </c>
      <c r="F26" s="87">
        <f t="shared" si="1"/>
        <v>644</v>
      </c>
    </row>
    <row r="27" spans="1:6" x14ac:dyDescent="0.2">
      <c r="A27" s="86">
        <v>16</v>
      </c>
      <c r="B27" s="351" t="s">
        <v>890</v>
      </c>
      <c r="C27" s="87">
        <f>'AT3A_cvrg(Insti)_PY'!L27</f>
        <v>1888</v>
      </c>
      <c r="D27" s="87">
        <f t="shared" si="0"/>
        <v>1888</v>
      </c>
      <c r="E27" s="87">
        <f>'AT3B_cvrg(Insti)_UPY '!L26+'AT3C_cvrg(Insti)_UPY '!L26</f>
        <v>1248</v>
      </c>
      <c r="F27" s="87">
        <f t="shared" si="1"/>
        <v>1248</v>
      </c>
    </row>
    <row r="28" spans="1:6" x14ac:dyDescent="0.2">
      <c r="A28" s="86">
        <v>17</v>
      </c>
      <c r="B28" s="351" t="s">
        <v>891</v>
      </c>
      <c r="C28" s="87">
        <f>'AT3A_cvrg(Insti)_PY'!L28</f>
        <v>1091</v>
      </c>
      <c r="D28" s="87">
        <f t="shared" si="0"/>
        <v>1091</v>
      </c>
      <c r="E28" s="87">
        <f>'AT3B_cvrg(Insti)_UPY '!L27+'AT3C_cvrg(Insti)_UPY '!L27</f>
        <v>603</v>
      </c>
      <c r="F28" s="87">
        <f t="shared" si="1"/>
        <v>603</v>
      </c>
    </row>
    <row r="29" spans="1:6" x14ac:dyDescent="0.2">
      <c r="A29" s="86">
        <v>18</v>
      </c>
      <c r="B29" s="351" t="s">
        <v>892</v>
      </c>
      <c r="C29" s="87">
        <f>'AT3A_cvrg(Insti)_PY'!L29</f>
        <v>990</v>
      </c>
      <c r="D29" s="87">
        <f t="shared" si="0"/>
        <v>990</v>
      </c>
      <c r="E29" s="87">
        <f>'AT3B_cvrg(Insti)_UPY '!L28+'AT3C_cvrg(Insti)_UPY '!L28</f>
        <v>532</v>
      </c>
      <c r="F29" s="87">
        <f t="shared" si="1"/>
        <v>532</v>
      </c>
    </row>
    <row r="30" spans="1:6" x14ac:dyDescent="0.2">
      <c r="A30" s="86">
        <v>19</v>
      </c>
      <c r="B30" s="351" t="s">
        <v>893</v>
      </c>
      <c r="C30" s="87">
        <f>'AT3A_cvrg(Insti)_PY'!L30</f>
        <v>1504</v>
      </c>
      <c r="D30" s="87">
        <f t="shared" si="0"/>
        <v>1504</v>
      </c>
      <c r="E30" s="87">
        <f>'AT3B_cvrg(Insti)_UPY '!L29+'AT3C_cvrg(Insti)_UPY '!L29</f>
        <v>810</v>
      </c>
      <c r="F30" s="87">
        <f t="shared" si="1"/>
        <v>810</v>
      </c>
    </row>
    <row r="31" spans="1:6" x14ac:dyDescent="0.2">
      <c r="A31" s="86">
        <v>20</v>
      </c>
      <c r="B31" s="351" t="s">
        <v>894</v>
      </c>
      <c r="C31" s="87">
        <f>'AT3A_cvrg(Insti)_PY'!L31</f>
        <v>600</v>
      </c>
      <c r="D31" s="87">
        <f t="shared" si="0"/>
        <v>600</v>
      </c>
      <c r="E31" s="87">
        <f>'AT3B_cvrg(Insti)_UPY '!L30+'AT3C_cvrg(Insti)_UPY '!L30</f>
        <v>415</v>
      </c>
      <c r="F31" s="87">
        <f t="shared" si="1"/>
        <v>415</v>
      </c>
    </row>
    <row r="32" spans="1:6" x14ac:dyDescent="0.2">
      <c r="A32" s="86">
        <v>21</v>
      </c>
      <c r="B32" s="351" t="s">
        <v>925</v>
      </c>
      <c r="C32" s="87">
        <f>'AT3A_cvrg(Insti)_PY'!L32</f>
        <v>758</v>
      </c>
      <c r="D32" s="87">
        <f t="shared" si="0"/>
        <v>758</v>
      </c>
      <c r="E32" s="87">
        <f>'AT3B_cvrg(Insti)_UPY '!L31+'AT3C_cvrg(Insti)_UPY '!L31</f>
        <v>528</v>
      </c>
      <c r="F32" s="87">
        <f t="shared" si="1"/>
        <v>528</v>
      </c>
    </row>
    <row r="33" spans="1:6" x14ac:dyDescent="0.2">
      <c r="A33" s="86">
        <v>22</v>
      </c>
      <c r="B33" s="351" t="s">
        <v>896</v>
      </c>
      <c r="C33" s="87">
        <f>'AT3A_cvrg(Insti)_PY'!L33</f>
        <v>628</v>
      </c>
      <c r="D33" s="87">
        <f t="shared" si="0"/>
        <v>628</v>
      </c>
      <c r="E33" s="87">
        <f>'AT3B_cvrg(Insti)_UPY '!L32+'AT3C_cvrg(Insti)_UPY '!L32</f>
        <v>383</v>
      </c>
      <c r="F33" s="87">
        <f t="shared" si="1"/>
        <v>383</v>
      </c>
    </row>
    <row r="34" spans="1:6" x14ac:dyDescent="0.2">
      <c r="A34" s="86">
        <v>23</v>
      </c>
      <c r="B34" s="351" t="s">
        <v>926</v>
      </c>
      <c r="C34" s="87">
        <f>'AT3A_cvrg(Insti)_PY'!L34</f>
        <v>922</v>
      </c>
      <c r="D34" s="87">
        <f t="shared" si="0"/>
        <v>922</v>
      </c>
      <c r="E34" s="87">
        <f>'AT3B_cvrg(Insti)_UPY '!L33+'AT3C_cvrg(Insti)_UPY '!L33</f>
        <v>618</v>
      </c>
      <c r="F34" s="87">
        <f t="shared" si="1"/>
        <v>618</v>
      </c>
    </row>
    <row r="35" spans="1:6" x14ac:dyDescent="0.2">
      <c r="A35" s="86">
        <v>24</v>
      </c>
      <c r="B35" s="351" t="s">
        <v>898</v>
      </c>
      <c r="C35" s="87">
        <f>'AT3A_cvrg(Insti)_PY'!L35</f>
        <v>1296</v>
      </c>
      <c r="D35" s="87">
        <f t="shared" si="0"/>
        <v>1296</v>
      </c>
      <c r="E35" s="87">
        <f>'AT3B_cvrg(Insti)_UPY '!L34+'AT3C_cvrg(Insti)_UPY '!L34</f>
        <v>649</v>
      </c>
      <c r="F35" s="87">
        <f t="shared" si="1"/>
        <v>649</v>
      </c>
    </row>
    <row r="36" spans="1:6" s="92" customFormat="1" x14ac:dyDescent="0.2">
      <c r="A36" s="1023" t="s">
        <v>15</v>
      </c>
      <c r="B36" s="1024"/>
      <c r="C36" s="275">
        <f>SUM(C12:C35)</f>
        <v>21838</v>
      </c>
      <c r="D36" s="275">
        <f>SUM(D12:D35)</f>
        <v>21838</v>
      </c>
      <c r="E36" s="275">
        <f>SUM(E12:E35)</f>
        <v>13935</v>
      </c>
      <c r="F36" s="275">
        <f>SUM(F12:F35)</f>
        <v>13935</v>
      </c>
    </row>
    <row r="37" spans="1:6" x14ac:dyDescent="0.2">
      <c r="A37" s="90"/>
      <c r="B37" s="91"/>
      <c r="C37" s="91"/>
      <c r="D37" s="91"/>
      <c r="E37" s="91"/>
      <c r="F37" s="91"/>
    </row>
    <row r="39" spans="1:6" ht="15.75" customHeight="1" x14ac:dyDescent="0.25">
      <c r="A39" s="673" t="s">
        <v>11</v>
      </c>
      <c r="B39" s="673"/>
      <c r="C39" s="673"/>
      <c r="D39" s="673"/>
      <c r="E39" s="673"/>
      <c r="F39" s="673"/>
    </row>
    <row r="40" spans="1:6" ht="15.6" customHeight="1" x14ac:dyDescent="0.2">
      <c r="A40" s="857" t="s">
        <v>1108</v>
      </c>
      <c r="B40" s="857"/>
      <c r="C40" s="857"/>
      <c r="D40" s="857"/>
      <c r="E40" s="857"/>
      <c r="F40" s="857"/>
    </row>
    <row r="41" spans="1:6" ht="15.75" x14ac:dyDescent="0.2">
      <c r="A41" s="857" t="s">
        <v>1112</v>
      </c>
      <c r="B41" s="857"/>
      <c r="C41" s="857"/>
      <c r="D41" s="857"/>
      <c r="E41" s="857"/>
      <c r="F41" s="857"/>
    </row>
    <row r="42" spans="1:6" x14ac:dyDescent="0.2">
      <c r="A42" s="567"/>
      <c r="B42" s="567"/>
      <c r="D42" s="566"/>
      <c r="F42" s="566"/>
    </row>
    <row r="43" spans="1:6" x14ac:dyDescent="0.2">
      <c r="A43" s="682"/>
      <c r="B43" s="682"/>
      <c r="C43" s="682"/>
      <c r="D43" s="682"/>
      <c r="E43" s="682"/>
      <c r="F43" s="682"/>
    </row>
  </sheetData>
  <mergeCells count="10">
    <mergeCell ref="A36:B36"/>
    <mergeCell ref="B3:F3"/>
    <mergeCell ref="A41:F41"/>
    <mergeCell ref="A40:F40"/>
    <mergeCell ref="B2:F2"/>
    <mergeCell ref="A5:F5"/>
    <mergeCell ref="C9:D9"/>
    <mergeCell ref="E9:F9"/>
    <mergeCell ref="A9:A10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topLeftCell="A16" zoomScale="85" zoomScaleNormal="85" zoomScaleSheetLayoutView="85" workbookViewId="0">
      <selection activeCell="H50" sqref="H50"/>
    </sheetView>
  </sheetViews>
  <sheetFormatPr defaultRowHeight="12.75" x14ac:dyDescent="0.2"/>
  <cols>
    <col min="2" max="2" width="17.28515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80"/>
      <c r="B1" s="80"/>
      <c r="C1" s="80"/>
      <c r="D1" s="924"/>
      <c r="E1" s="924"/>
      <c r="F1" s="38"/>
      <c r="G1" s="924" t="s">
        <v>439</v>
      </c>
      <c r="H1" s="924"/>
      <c r="I1" s="924"/>
      <c r="J1" s="924"/>
      <c r="K1" s="93"/>
      <c r="L1" s="80"/>
      <c r="M1" s="80"/>
    </row>
    <row r="2" spans="1:13" ht="15.75" x14ac:dyDescent="0.25">
      <c r="A2" s="1027" t="s">
        <v>0</v>
      </c>
      <c r="B2" s="1027"/>
      <c r="C2" s="1027"/>
      <c r="D2" s="1027"/>
      <c r="E2" s="1027"/>
      <c r="F2" s="1027"/>
      <c r="G2" s="1027"/>
      <c r="H2" s="1027"/>
      <c r="I2" s="1027"/>
      <c r="J2" s="1027"/>
      <c r="K2" s="80"/>
      <c r="L2" s="80"/>
      <c r="M2" s="80"/>
    </row>
    <row r="3" spans="1:13" ht="18" x14ac:dyDescent="0.25">
      <c r="A3" s="123"/>
      <c r="B3" s="123"/>
      <c r="C3" s="1041" t="s">
        <v>694</v>
      </c>
      <c r="D3" s="1041"/>
      <c r="E3" s="1041"/>
      <c r="F3" s="1041"/>
      <c r="G3" s="1041"/>
      <c r="H3" s="1041"/>
      <c r="I3" s="1041"/>
      <c r="J3" s="123"/>
      <c r="K3" s="80"/>
      <c r="L3" s="80"/>
      <c r="M3" s="80"/>
    </row>
    <row r="4" spans="1:13" ht="15.75" x14ac:dyDescent="0.25">
      <c r="A4" s="845" t="s">
        <v>438</v>
      </c>
      <c r="B4" s="845"/>
      <c r="C4" s="845"/>
      <c r="D4" s="845"/>
      <c r="E4" s="845"/>
      <c r="F4" s="845"/>
      <c r="G4" s="845"/>
      <c r="H4" s="845"/>
      <c r="I4" s="845"/>
      <c r="J4" s="845"/>
      <c r="K4" s="80"/>
      <c r="L4" s="80"/>
      <c r="M4" s="80"/>
    </row>
    <row r="5" spans="1:13" ht="15.75" x14ac:dyDescent="0.25">
      <c r="A5" s="191" t="s">
        <v>1098</v>
      </c>
      <c r="B5" s="191"/>
      <c r="C5" s="82"/>
      <c r="D5" s="82"/>
      <c r="E5" s="82"/>
      <c r="F5" s="82"/>
      <c r="G5" s="82"/>
      <c r="H5" s="82"/>
      <c r="I5" s="82"/>
      <c r="J5" s="82"/>
      <c r="K5" s="80"/>
      <c r="L5" s="80"/>
      <c r="M5" s="80"/>
    </row>
    <row r="6" spans="1:13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8" x14ac:dyDescent="0.25">
      <c r="A7" s="8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21.75" customHeight="1" x14ac:dyDescent="0.2">
      <c r="A8" s="1036" t="s">
        <v>1</v>
      </c>
      <c r="B8" s="1036" t="s">
        <v>2</v>
      </c>
      <c r="C8" s="1038" t="s">
        <v>133</v>
      </c>
      <c r="D8" s="1039"/>
      <c r="E8" s="1039"/>
      <c r="F8" s="1039"/>
      <c r="G8" s="1039"/>
      <c r="H8" s="1039"/>
      <c r="I8" s="1039"/>
      <c r="J8" s="1040"/>
      <c r="K8" s="80"/>
      <c r="L8" s="80"/>
      <c r="M8" s="80"/>
    </row>
    <row r="9" spans="1:13" ht="66" customHeight="1" x14ac:dyDescent="0.2">
      <c r="A9" s="1037"/>
      <c r="B9" s="1037"/>
      <c r="C9" s="84" t="s">
        <v>189</v>
      </c>
      <c r="D9" s="84" t="s">
        <v>113</v>
      </c>
      <c r="E9" s="84" t="s">
        <v>978</v>
      </c>
      <c r="F9" s="130" t="s">
        <v>158</v>
      </c>
      <c r="G9" s="130" t="s">
        <v>114</v>
      </c>
      <c r="H9" s="149" t="s">
        <v>188</v>
      </c>
      <c r="I9" s="149" t="s">
        <v>856</v>
      </c>
      <c r="J9" s="85" t="s">
        <v>15</v>
      </c>
      <c r="K9" s="92"/>
      <c r="L9" s="92"/>
      <c r="M9" s="92"/>
    </row>
    <row r="10" spans="1:13" s="14" customFormat="1" x14ac:dyDescent="0.2">
      <c r="A10" s="285">
        <v>1</v>
      </c>
      <c r="B10" s="285">
        <v>2</v>
      </c>
      <c r="C10" s="285">
        <v>3</v>
      </c>
      <c r="D10" s="285">
        <v>4</v>
      </c>
      <c r="E10" s="285">
        <v>5</v>
      </c>
      <c r="F10" s="285">
        <v>6</v>
      </c>
      <c r="G10" s="285">
        <v>7</v>
      </c>
      <c r="H10" s="286">
        <v>8</v>
      </c>
      <c r="I10" s="286">
        <v>9</v>
      </c>
      <c r="J10" s="287">
        <v>10</v>
      </c>
      <c r="K10" s="92"/>
      <c r="L10" s="92"/>
      <c r="M10" s="92"/>
    </row>
    <row r="11" spans="1:13" x14ac:dyDescent="0.2">
      <c r="A11" s="86">
        <v>1</v>
      </c>
      <c r="B11" s="351" t="s">
        <v>875</v>
      </c>
      <c r="C11" s="87"/>
      <c r="D11" s="87"/>
      <c r="E11" s="87">
        <f>'AT-3'!G9</f>
        <v>2177</v>
      </c>
      <c r="F11" s="87"/>
      <c r="G11" s="87"/>
      <c r="H11" s="150"/>
      <c r="I11" s="150"/>
      <c r="J11" s="88">
        <f>E11+G11</f>
        <v>2177</v>
      </c>
      <c r="K11" s="80"/>
      <c r="L11" s="80"/>
      <c r="M11" s="80"/>
    </row>
    <row r="12" spans="1:13" x14ac:dyDescent="0.2">
      <c r="A12" s="86">
        <v>2</v>
      </c>
      <c r="B12" s="351" t="s">
        <v>876</v>
      </c>
      <c r="C12" s="87"/>
      <c r="D12" s="87"/>
      <c r="E12" s="87">
        <f>'AT-3'!G10</f>
        <v>868</v>
      </c>
      <c r="F12" s="87"/>
      <c r="G12" s="87"/>
      <c r="H12" s="150"/>
      <c r="I12" s="150"/>
      <c r="J12" s="88">
        <f t="shared" ref="J12:J34" si="0">E12+G12</f>
        <v>868</v>
      </c>
      <c r="K12" s="80"/>
      <c r="L12" s="80"/>
      <c r="M12" s="80"/>
    </row>
    <row r="13" spans="1:13" x14ac:dyDescent="0.2">
      <c r="A13" s="86">
        <v>3</v>
      </c>
      <c r="B13" s="351" t="s">
        <v>877</v>
      </c>
      <c r="C13" s="87"/>
      <c r="D13" s="87"/>
      <c r="E13" s="87">
        <f>'AT-3'!G11</f>
        <v>491</v>
      </c>
      <c r="F13" s="87"/>
      <c r="G13" s="87"/>
      <c r="H13" s="150"/>
      <c r="I13" s="150"/>
      <c r="J13" s="88">
        <f t="shared" si="0"/>
        <v>491</v>
      </c>
      <c r="K13" s="80"/>
      <c r="L13" s="80"/>
      <c r="M13" s="80"/>
    </row>
    <row r="14" spans="1:13" x14ac:dyDescent="0.2">
      <c r="A14" s="86">
        <v>4</v>
      </c>
      <c r="B14" s="351" t="s">
        <v>878</v>
      </c>
      <c r="C14" s="87"/>
      <c r="D14" s="87"/>
      <c r="E14" s="87">
        <f>'AT-3'!G12</f>
        <v>1519</v>
      </c>
      <c r="F14" s="87"/>
      <c r="G14" s="87"/>
      <c r="H14" s="150"/>
      <c r="I14" s="150"/>
      <c r="J14" s="88">
        <f t="shared" si="0"/>
        <v>1519</v>
      </c>
      <c r="K14" s="80"/>
      <c r="L14" s="80"/>
      <c r="M14" s="80"/>
    </row>
    <row r="15" spans="1:13" x14ac:dyDescent="0.2">
      <c r="A15" s="86">
        <v>5</v>
      </c>
      <c r="B15" s="351" t="s">
        <v>879</v>
      </c>
      <c r="C15" s="87"/>
      <c r="D15" s="87"/>
      <c r="E15" s="87">
        <f>'AT-3'!G13</f>
        <v>968</v>
      </c>
      <c r="F15" s="87"/>
      <c r="G15" s="87"/>
      <c r="H15" s="150"/>
      <c r="I15" s="150"/>
      <c r="J15" s="88">
        <f t="shared" si="0"/>
        <v>968</v>
      </c>
      <c r="K15" s="80"/>
      <c r="L15" s="80"/>
      <c r="M15" s="80"/>
    </row>
    <row r="16" spans="1:13" x14ac:dyDescent="0.2">
      <c r="A16" s="86">
        <v>6</v>
      </c>
      <c r="B16" s="351" t="s">
        <v>880</v>
      </c>
      <c r="C16" s="87"/>
      <c r="D16" s="87"/>
      <c r="E16" s="87">
        <f>1620-297</f>
        <v>1323</v>
      </c>
      <c r="F16" s="87"/>
      <c r="G16" s="87">
        <v>297</v>
      </c>
      <c r="H16" s="150"/>
      <c r="I16" s="150"/>
      <c r="J16" s="88">
        <f t="shared" si="0"/>
        <v>1620</v>
      </c>
      <c r="K16" s="80"/>
      <c r="L16" s="80"/>
      <c r="M16" s="80"/>
    </row>
    <row r="17" spans="1:13" x14ac:dyDescent="0.2">
      <c r="A17" s="86">
        <v>7</v>
      </c>
      <c r="B17" s="351" t="s">
        <v>923</v>
      </c>
      <c r="C17" s="87"/>
      <c r="D17" s="87"/>
      <c r="E17" s="87">
        <f>1381-79</f>
        <v>1302</v>
      </c>
      <c r="F17" s="87"/>
      <c r="G17" s="87">
        <v>79</v>
      </c>
      <c r="H17" s="150"/>
      <c r="I17" s="150"/>
      <c r="J17" s="88">
        <f t="shared" si="0"/>
        <v>1381</v>
      </c>
      <c r="K17" s="80"/>
      <c r="L17" s="80"/>
      <c r="M17" s="80"/>
    </row>
    <row r="18" spans="1:13" x14ac:dyDescent="0.2">
      <c r="A18" s="86">
        <v>8</v>
      </c>
      <c r="B18" s="351" t="s">
        <v>882</v>
      </c>
      <c r="C18" s="87"/>
      <c r="D18" s="87"/>
      <c r="E18" s="87">
        <f>'AT-3'!G16</f>
        <v>2066</v>
      </c>
      <c r="F18" s="87"/>
      <c r="G18" s="87"/>
      <c r="H18" s="150"/>
      <c r="I18" s="150"/>
      <c r="J18" s="88">
        <f t="shared" si="0"/>
        <v>2066</v>
      </c>
      <c r="K18" s="80"/>
      <c r="L18" s="80"/>
      <c r="M18" s="80"/>
    </row>
    <row r="19" spans="1:13" x14ac:dyDescent="0.2">
      <c r="A19" s="86">
        <v>9</v>
      </c>
      <c r="B19" s="351" t="s">
        <v>883</v>
      </c>
      <c r="C19" s="87"/>
      <c r="D19" s="87"/>
      <c r="E19" s="87">
        <f>'AT-3'!G17</f>
        <v>2499</v>
      </c>
      <c r="F19" s="87"/>
      <c r="G19" s="87"/>
      <c r="H19" s="150"/>
      <c r="I19" s="150"/>
      <c r="J19" s="88">
        <f t="shared" si="0"/>
        <v>2499</v>
      </c>
      <c r="K19" s="80"/>
      <c r="L19" s="80"/>
      <c r="M19" s="80"/>
    </row>
    <row r="20" spans="1:13" x14ac:dyDescent="0.2">
      <c r="A20" s="86">
        <v>10</v>
      </c>
      <c r="B20" s="351" t="s">
        <v>884</v>
      </c>
      <c r="C20" s="87"/>
      <c r="D20" s="87"/>
      <c r="E20" s="87">
        <f>'AT-3'!G18</f>
        <v>1037</v>
      </c>
      <c r="F20" s="87"/>
      <c r="G20" s="87"/>
      <c r="H20" s="150"/>
      <c r="I20" s="150"/>
      <c r="J20" s="88">
        <f t="shared" si="0"/>
        <v>1037</v>
      </c>
      <c r="K20" s="80"/>
      <c r="L20" s="80"/>
      <c r="M20" s="80"/>
    </row>
    <row r="21" spans="1:13" x14ac:dyDescent="0.2">
      <c r="A21" s="86">
        <v>11</v>
      </c>
      <c r="B21" s="351" t="s">
        <v>885</v>
      </c>
      <c r="C21" s="87"/>
      <c r="D21" s="87"/>
      <c r="E21" s="87">
        <f>'AT-3'!G19</f>
        <v>1420</v>
      </c>
      <c r="F21" s="87"/>
      <c r="G21" s="87"/>
      <c r="H21" s="150"/>
      <c r="I21" s="150"/>
      <c r="J21" s="88">
        <f t="shared" si="0"/>
        <v>1420</v>
      </c>
      <c r="K21" s="80"/>
      <c r="L21" s="80"/>
      <c r="M21" s="80"/>
    </row>
    <row r="22" spans="1:13" x14ac:dyDescent="0.2">
      <c r="A22" s="86">
        <v>12</v>
      </c>
      <c r="B22" s="351" t="s">
        <v>886</v>
      </c>
      <c r="C22" s="87"/>
      <c r="D22" s="87"/>
      <c r="E22" s="87">
        <f>'AT-3'!G20</f>
        <v>1479</v>
      </c>
      <c r="F22" s="87"/>
      <c r="G22" s="87"/>
      <c r="H22" s="150"/>
      <c r="I22" s="150"/>
      <c r="J22" s="88">
        <f t="shared" si="0"/>
        <v>1479</v>
      </c>
      <c r="K22" s="80"/>
      <c r="L22" s="80"/>
      <c r="M22" s="80"/>
    </row>
    <row r="23" spans="1:13" x14ac:dyDescent="0.2">
      <c r="A23" s="86">
        <v>13</v>
      </c>
      <c r="B23" s="351" t="s">
        <v>887</v>
      </c>
      <c r="C23" s="87"/>
      <c r="D23" s="87"/>
      <c r="E23" s="87">
        <f>'AT-3'!G21</f>
        <v>587</v>
      </c>
      <c r="F23" s="87"/>
      <c r="G23" s="87"/>
      <c r="H23" s="150"/>
      <c r="I23" s="150"/>
      <c r="J23" s="88">
        <f t="shared" si="0"/>
        <v>587</v>
      </c>
      <c r="K23" s="80"/>
      <c r="L23" s="80"/>
      <c r="M23" s="80"/>
    </row>
    <row r="24" spans="1:13" x14ac:dyDescent="0.2">
      <c r="A24" s="86">
        <v>14</v>
      </c>
      <c r="B24" s="351" t="s">
        <v>888</v>
      </c>
      <c r="C24" s="87"/>
      <c r="D24" s="87"/>
      <c r="E24" s="87">
        <f>'AT-3'!G22</f>
        <v>659</v>
      </c>
      <c r="F24" s="87"/>
      <c r="G24" s="87"/>
      <c r="H24" s="150"/>
      <c r="I24" s="150"/>
      <c r="J24" s="88">
        <f t="shared" si="0"/>
        <v>659</v>
      </c>
      <c r="K24" s="80"/>
      <c r="L24" s="80"/>
      <c r="M24" s="80"/>
    </row>
    <row r="25" spans="1:13" x14ac:dyDescent="0.2">
      <c r="A25" s="86">
        <v>15</v>
      </c>
      <c r="B25" s="351" t="s">
        <v>924</v>
      </c>
      <c r="C25" s="87"/>
      <c r="D25" s="87"/>
      <c r="E25" s="87">
        <f>'AT-3'!G23</f>
        <v>1539</v>
      </c>
      <c r="F25" s="87"/>
      <c r="G25" s="87"/>
      <c r="H25" s="150"/>
      <c r="I25" s="150"/>
      <c r="J25" s="88">
        <f t="shared" si="0"/>
        <v>1539</v>
      </c>
      <c r="K25" s="80"/>
      <c r="L25" s="80"/>
      <c r="M25" s="80"/>
    </row>
    <row r="26" spans="1:13" x14ac:dyDescent="0.2">
      <c r="A26" s="86">
        <v>16</v>
      </c>
      <c r="B26" s="351" t="s">
        <v>890</v>
      </c>
      <c r="C26" s="87"/>
      <c r="D26" s="87"/>
      <c r="E26" s="87">
        <f>'AT-3'!G24</f>
        <v>3136</v>
      </c>
      <c r="F26" s="87"/>
      <c r="G26" s="87"/>
      <c r="H26" s="150"/>
      <c r="I26" s="150"/>
      <c r="J26" s="88">
        <f t="shared" si="0"/>
        <v>3136</v>
      </c>
      <c r="K26" s="80"/>
      <c r="L26" s="80"/>
      <c r="M26" s="80"/>
    </row>
    <row r="27" spans="1:13" x14ac:dyDescent="0.2">
      <c r="A27" s="86">
        <v>17</v>
      </c>
      <c r="B27" s="351" t="s">
        <v>891</v>
      </c>
      <c r="C27" s="87"/>
      <c r="D27" s="87"/>
      <c r="E27" s="87">
        <f>'AT-3'!G25</f>
        <v>1694</v>
      </c>
      <c r="F27" s="87"/>
      <c r="G27" s="87"/>
      <c r="H27" s="150"/>
      <c r="I27" s="150"/>
      <c r="J27" s="88">
        <f t="shared" si="0"/>
        <v>1694</v>
      </c>
      <c r="K27" s="80"/>
      <c r="L27" s="80"/>
      <c r="M27" s="80"/>
    </row>
    <row r="28" spans="1:13" x14ac:dyDescent="0.2">
      <c r="A28" s="86">
        <v>18</v>
      </c>
      <c r="B28" s="351" t="s">
        <v>892</v>
      </c>
      <c r="C28" s="87"/>
      <c r="D28" s="87"/>
      <c r="E28" s="87">
        <f>'AT-3'!G26</f>
        <v>1522</v>
      </c>
      <c r="F28" s="87"/>
      <c r="G28" s="87"/>
      <c r="H28" s="150"/>
      <c r="I28" s="150"/>
      <c r="J28" s="88">
        <f t="shared" si="0"/>
        <v>1522</v>
      </c>
      <c r="K28" s="80"/>
      <c r="L28" s="80"/>
      <c r="M28" s="80"/>
    </row>
    <row r="29" spans="1:13" x14ac:dyDescent="0.2">
      <c r="A29" s="86">
        <v>19</v>
      </c>
      <c r="B29" s="351" t="s">
        <v>893</v>
      </c>
      <c r="C29" s="87"/>
      <c r="D29" s="87"/>
      <c r="E29" s="87">
        <f>'AT-3'!G27</f>
        <v>2314</v>
      </c>
      <c r="F29" s="87"/>
      <c r="G29" s="87"/>
      <c r="H29" s="150"/>
      <c r="I29" s="150"/>
      <c r="J29" s="88">
        <f t="shared" si="0"/>
        <v>2314</v>
      </c>
      <c r="K29" s="80"/>
      <c r="L29" s="80"/>
      <c r="M29" s="80"/>
    </row>
    <row r="30" spans="1:13" x14ac:dyDescent="0.2">
      <c r="A30" s="86">
        <v>20</v>
      </c>
      <c r="B30" s="351" t="s">
        <v>894</v>
      </c>
      <c r="C30" s="87"/>
      <c r="D30" s="87"/>
      <c r="E30" s="87">
        <f>'AT-3'!G28</f>
        <v>1015</v>
      </c>
      <c r="F30" s="87"/>
      <c r="G30" s="87"/>
      <c r="H30" s="150"/>
      <c r="I30" s="150"/>
      <c r="J30" s="88">
        <f t="shared" si="0"/>
        <v>1015</v>
      </c>
      <c r="K30" s="80"/>
      <c r="L30" s="80"/>
      <c r="M30" s="80"/>
    </row>
    <row r="31" spans="1:13" x14ac:dyDescent="0.2">
      <c r="A31" s="86">
        <v>21</v>
      </c>
      <c r="B31" s="351" t="s">
        <v>925</v>
      </c>
      <c r="C31" s="87"/>
      <c r="D31" s="87"/>
      <c r="E31" s="87">
        <f>'AT-3'!G29</f>
        <v>1286</v>
      </c>
      <c r="F31" s="87"/>
      <c r="G31" s="87"/>
      <c r="H31" s="150"/>
      <c r="I31" s="150"/>
      <c r="J31" s="88">
        <f t="shared" si="0"/>
        <v>1286</v>
      </c>
      <c r="K31" s="80"/>
      <c r="L31" s="80"/>
      <c r="M31" s="80"/>
    </row>
    <row r="32" spans="1:13" x14ac:dyDescent="0.2">
      <c r="A32" s="86">
        <v>22</v>
      </c>
      <c r="B32" s="351" t="s">
        <v>896</v>
      </c>
      <c r="C32" s="87"/>
      <c r="D32" s="87"/>
      <c r="E32" s="87">
        <f>'AT-3'!G30</f>
        <v>1011</v>
      </c>
      <c r="F32" s="87"/>
      <c r="G32" s="87"/>
      <c r="H32" s="150"/>
      <c r="I32" s="150"/>
      <c r="J32" s="88">
        <f t="shared" si="0"/>
        <v>1011</v>
      </c>
      <c r="K32" s="80"/>
      <c r="L32" s="80"/>
      <c r="M32" s="80"/>
    </row>
    <row r="33" spans="1:13" x14ac:dyDescent="0.2">
      <c r="A33" s="86">
        <v>23</v>
      </c>
      <c r="B33" s="351" t="s">
        <v>926</v>
      </c>
      <c r="C33" s="87"/>
      <c r="D33" s="87"/>
      <c r="E33" s="87">
        <f>'AT-3'!G31</f>
        <v>1540</v>
      </c>
      <c r="F33" s="87"/>
      <c r="G33" s="87"/>
      <c r="H33" s="150"/>
      <c r="I33" s="150"/>
      <c r="J33" s="88">
        <f t="shared" si="0"/>
        <v>1540</v>
      </c>
      <c r="K33" s="80"/>
      <c r="L33" s="80"/>
      <c r="M33" s="80"/>
    </row>
    <row r="34" spans="1:13" x14ac:dyDescent="0.2">
      <c r="A34" s="86">
        <v>24</v>
      </c>
      <c r="B34" s="351" t="s">
        <v>898</v>
      </c>
      <c r="C34" s="87"/>
      <c r="D34" s="87"/>
      <c r="E34" s="87">
        <f>'AT-3'!G32</f>
        <v>1945</v>
      </c>
      <c r="F34" s="87"/>
      <c r="G34" s="87"/>
      <c r="H34" s="150"/>
      <c r="I34" s="150"/>
      <c r="J34" s="88">
        <f t="shared" si="0"/>
        <v>1945</v>
      </c>
      <c r="K34" s="80"/>
      <c r="L34" s="80"/>
      <c r="M34" s="80"/>
    </row>
    <row r="35" spans="1:13" s="14" customFormat="1" x14ac:dyDescent="0.2">
      <c r="A35" s="1023" t="s">
        <v>15</v>
      </c>
      <c r="B35" s="1024"/>
      <c r="C35" s="275"/>
      <c r="D35" s="275"/>
      <c r="E35" s="275">
        <f>SUM(E11:E34)</f>
        <v>35397</v>
      </c>
      <c r="F35" s="275"/>
      <c r="G35" s="275">
        <f>SUM(G11:G34)</f>
        <v>376</v>
      </c>
      <c r="H35" s="430"/>
      <c r="I35" s="430"/>
      <c r="J35" s="431">
        <f>SUM(J11:J34)</f>
        <v>35773</v>
      </c>
      <c r="L35" s="92"/>
      <c r="M35" s="92"/>
    </row>
    <row r="36" spans="1:13" x14ac:dyDescent="0.2">
      <c r="A36" s="8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x14ac:dyDescent="0.2">
      <c r="A38" s="80" t="s">
        <v>115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x14ac:dyDescent="0.2">
      <c r="A39" s="80" t="s">
        <v>190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x14ac:dyDescent="0.2">
      <c r="A40" t="s">
        <v>116</v>
      </c>
    </row>
    <row r="41" spans="1:13" x14ac:dyDescent="0.2">
      <c r="A41" s="1035" t="s">
        <v>117</v>
      </c>
      <c r="B41" s="1035"/>
      <c r="C41" s="1035"/>
      <c r="D41" s="1035"/>
      <c r="E41" s="335"/>
      <c r="F41" s="335"/>
      <c r="G41" s="335"/>
      <c r="H41" s="335"/>
      <c r="I41" s="335"/>
      <c r="J41" s="335"/>
      <c r="K41" s="1035"/>
      <c r="L41" s="1035"/>
      <c r="M41" s="1035"/>
    </row>
    <row r="42" spans="1:13" x14ac:dyDescent="0.2">
      <c r="A42" s="1034" t="s">
        <v>118</v>
      </c>
      <c r="B42" s="1034"/>
      <c r="C42" s="1034"/>
      <c r="D42" s="1034"/>
      <c r="E42" s="80"/>
      <c r="F42" s="80"/>
      <c r="G42" s="80"/>
      <c r="H42" s="80"/>
      <c r="I42" s="80"/>
      <c r="J42" s="80"/>
      <c r="K42" s="80"/>
      <c r="L42" s="80"/>
      <c r="M42" s="80"/>
    </row>
    <row r="43" spans="1:13" x14ac:dyDescent="0.2">
      <c r="A43" s="131" t="s">
        <v>159</v>
      </c>
      <c r="B43" s="131"/>
      <c r="C43" s="131"/>
      <c r="D43" s="131"/>
      <c r="E43" s="80"/>
      <c r="F43" s="80"/>
      <c r="G43" s="80"/>
      <c r="H43" s="80"/>
      <c r="I43" s="80"/>
      <c r="J43" s="80"/>
      <c r="K43" s="80"/>
      <c r="L43" s="80"/>
      <c r="M43" s="80"/>
    </row>
    <row r="44" spans="1:13" x14ac:dyDescent="0.2">
      <c r="A44" s="131"/>
      <c r="B44" s="131"/>
      <c r="C44" s="131"/>
      <c r="D44" s="131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5.75" x14ac:dyDescent="0.25">
      <c r="A45" s="673" t="s">
        <v>11</v>
      </c>
      <c r="B45" s="673"/>
      <c r="C45" s="673"/>
      <c r="D45" s="673"/>
      <c r="E45" s="673"/>
      <c r="F45" s="673"/>
      <c r="G45" s="673"/>
      <c r="H45" s="673"/>
      <c r="I45" s="673"/>
      <c r="J45" s="132" t="s">
        <v>1107</v>
      </c>
      <c r="K45" s="80"/>
      <c r="L45" s="80"/>
      <c r="M45" s="80"/>
    </row>
    <row r="46" spans="1:13" ht="15.75" x14ac:dyDescent="0.2">
      <c r="A46" s="857" t="s">
        <v>1108</v>
      </c>
      <c r="B46" s="857"/>
      <c r="C46" s="857"/>
      <c r="D46" s="857"/>
      <c r="E46" s="857"/>
      <c r="F46" s="857"/>
      <c r="G46" s="857"/>
      <c r="H46" s="857"/>
      <c r="I46" s="857"/>
      <c r="J46" s="857"/>
      <c r="K46" s="80"/>
      <c r="L46" s="80"/>
      <c r="M46" s="80"/>
    </row>
    <row r="47" spans="1:13" ht="15.75" x14ac:dyDescent="0.2">
      <c r="A47" s="857" t="s">
        <v>1112</v>
      </c>
      <c r="B47" s="857"/>
      <c r="C47" s="857"/>
      <c r="D47" s="857"/>
      <c r="E47" s="857"/>
      <c r="F47" s="857"/>
      <c r="G47" s="857"/>
      <c r="H47" s="857"/>
      <c r="I47" s="857"/>
      <c r="J47" s="857"/>
      <c r="K47" s="132"/>
      <c r="L47" s="80"/>
      <c r="M47" s="80"/>
    </row>
    <row r="48" spans="1:13" x14ac:dyDescent="0.2">
      <c r="A48" s="80"/>
      <c r="B48" s="80"/>
      <c r="C48" s="80"/>
      <c r="D48" s="80"/>
      <c r="E48" s="80"/>
      <c r="F48" s="80"/>
      <c r="G48" s="931" t="s">
        <v>1110</v>
      </c>
      <c r="H48" s="931"/>
      <c r="I48" s="931"/>
      <c r="J48" s="931"/>
      <c r="K48" s="80"/>
      <c r="L48" s="80"/>
      <c r="M48" s="80"/>
    </row>
    <row r="49" spans="1:13" ht="15.75" x14ac:dyDescent="0.2">
      <c r="A49" s="567"/>
      <c r="B49" s="567"/>
      <c r="C49" s="80"/>
      <c r="E49" s="567"/>
      <c r="F49" s="567"/>
      <c r="G49" s="132"/>
      <c r="H49" s="132"/>
      <c r="I49" s="567"/>
      <c r="J49" s="567"/>
      <c r="K49" s="132"/>
      <c r="L49" s="80"/>
      <c r="M49" s="80"/>
    </row>
  </sheetData>
  <mergeCells count="15">
    <mergeCell ref="K41:M41"/>
    <mergeCell ref="A8:A9"/>
    <mergeCell ref="B8:B9"/>
    <mergeCell ref="C8:J8"/>
    <mergeCell ref="C3:I3"/>
    <mergeCell ref="A35:B35"/>
    <mergeCell ref="A41:D41"/>
    <mergeCell ref="A47:J47"/>
    <mergeCell ref="G48:J48"/>
    <mergeCell ref="D1:E1"/>
    <mergeCell ref="G1:J1"/>
    <mergeCell ref="A2:J2"/>
    <mergeCell ref="A4:J4"/>
    <mergeCell ref="A42:D42"/>
    <mergeCell ref="A46:J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view="pageBreakPreview" topLeftCell="A13" zoomScale="76" zoomScaleNormal="80" zoomScaleSheetLayoutView="76" workbookViewId="0">
      <selection activeCell="A43" sqref="A43:M46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924" t="s">
        <v>539</v>
      </c>
      <c r="M1" s="924"/>
      <c r="N1" s="93"/>
      <c r="O1" s="80"/>
      <c r="P1" s="80"/>
    </row>
    <row r="2" spans="1:26" ht="15.75" x14ac:dyDescent="0.25">
      <c r="A2" s="1027" t="s">
        <v>0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80"/>
      <c r="O2" s="80"/>
      <c r="P2" s="80"/>
    </row>
    <row r="3" spans="1:26" ht="20.25" x14ac:dyDescent="0.3">
      <c r="A3" s="844" t="s">
        <v>694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0"/>
      <c r="O3" s="80"/>
      <c r="P3" s="80"/>
    </row>
    <row r="4" spans="1:26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26" ht="15.75" x14ac:dyDescent="0.25">
      <c r="A5" s="845" t="s">
        <v>538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0"/>
      <c r="O5" s="80"/>
      <c r="P5" s="80"/>
    </row>
    <row r="6" spans="1:26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26" x14ac:dyDescent="0.2">
      <c r="A7" s="191" t="s">
        <v>1098</v>
      </c>
      <c r="B7" s="191"/>
      <c r="C7" s="30"/>
      <c r="D7" s="30"/>
      <c r="E7" s="3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26" ht="18" x14ac:dyDescent="0.25">
      <c r="A8" s="83"/>
      <c r="B8" s="83"/>
      <c r="C8" s="83"/>
      <c r="D8" s="83"/>
      <c r="E8" s="83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26" ht="19.899999999999999" customHeight="1" x14ac:dyDescent="0.2">
      <c r="A9" s="1025" t="s">
        <v>1</v>
      </c>
      <c r="B9" s="1025" t="s">
        <v>2</v>
      </c>
      <c r="C9" s="1042" t="s">
        <v>113</v>
      </c>
      <c r="D9" s="1042"/>
      <c r="E9" s="1043"/>
      <c r="F9" s="1044" t="s">
        <v>114</v>
      </c>
      <c r="G9" s="1042"/>
      <c r="H9" s="1042"/>
      <c r="I9" s="1043"/>
      <c r="J9" s="1044" t="s">
        <v>188</v>
      </c>
      <c r="K9" s="1042"/>
      <c r="L9" s="1042"/>
      <c r="M9" s="1043"/>
      <c r="Y9" s="9"/>
      <c r="Z9" s="12"/>
    </row>
    <row r="10" spans="1:26" ht="45.75" customHeight="1" x14ac:dyDescent="0.2">
      <c r="A10" s="1025"/>
      <c r="B10" s="1025"/>
      <c r="C10" s="134" t="s">
        <v>380</v>
      </c>
      <c r="D10" s="4" t="s">
        <v>378</v>
      </c>
      <c r="E10" s="134" t="s">
        <v>191</v>
      </c>
      <c r="F10" s="4" t="s">
        <v>376</v>
      </c>
      <c r="G10" s="134" t="s">
        <v>377</v>
      </c>
      <c r="H10" s="4" t="s">
        <v>378</v>
      </c>
      <c r="I10" s="134" t="s">
        <v>191</v>
      </c>
      <c r="J10" s="4" t="s">
        <v>379</v>
      </c>
      <c r="K10" s="134" t="s">
        <v>377</v>
      </c>
      <c r="L10" s="4" t="s">
        <v>378</v>
      </c>
      <c r="M10" s="5" t="s">
        <v>191</v>
      </c>
    </row>
    <row r="11" spans="1:26" s="14" customFormat="1" x14ac:dyDescent="0.2">
      <c r="A11" s="285">
        <v>1</v>
      </c>
      <c r="B11" s="285">
        <v>2</v>
      </c>
      <c r="C11" s="285">
        <v>3</v>
      </c>
      <c r="D11" s="285">
        <v>4</v>
      </c>
      <c r="E11" s="285">
        <v>5</v>
      </c>
      <c r="F11" s="285">
        <v>6</v>
      </c>
      <c r="G11" s="285">
        <v>7</v>
      </c>
      <c r="H11" s="285">
        <v>8</v>
      </c>
      <c r="I11" s="285">
        <v>9</v>
      </c>
      <c r="J11" s="285">
        <v>10</v>
      </c>
      <c r="K11" s="285">
        <v>11</v>
      </c>
      <c r="L11" s="285">
        <v>12</v>
      </c>
      <c r="M11" s="285">
        <v>13</v>
      </c>
    </row>
    <row r="12" spans="1:26" x14ac:dyDescent="0.2">
      <c r="A12" s="86">
        <v>1</v>
      </c>
      <c r="B12" s="351" t="s">
        <v>875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26" x14ac:dyDescent="0.2">
      <c r="A13" s="86">
        <v>2</v>
      </c>
      <c r="B13" s="351" t="s">
        <v>876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26" x14ac:dyDescent="0.2">
      <c r="A14" s="86">
        <v>3</v>
      </c>
      <c r="B14" s="351" t="s">
        <v>877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26" x14ac:dyDescent="0.2">
      <c r="A15" s="86">
        <v>4</v>
      </c>
      <c r="B15" s="351" t="s">
        <v>878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26" x14ac:dyDescent="0.2">
      <c r="A16" s="86">
        <v>5</v>
      </c>
      <c r="B16" s="351" t="s">
        <v>879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x14ac:dyDescent="0.2">
      <c r="A17" s="86">
        <v>6</v>
      </c>
      <c r="B17" s="351" t="s">
        <v>880</v>
      </c>
      <c r="C17" s="87"/>
      <c r="D17" s="87"/>
      <c r="E17" s="87"/>
      <c r="F17" s="429" t="s">
        <v>975</v>
      </c>
      <c r="G17" s="1045">
        <v>1</v>
      </c>
      <c r="H17" s="275">
        <v>297</v>
      </c>
      <c r="I17" s="429">
        <v>35181</v>
      </c>
      <c r="J17" s="87"/>
      <c r="K17" s="87"/>
      <c r="L17" s="87"/>
      <c r="M17" s="87"/>
    </row>
    <row r="18" spans="1:13" x14ac:dyDescent="0.2">
      <c r="A18" s="86">
        <v>7</v>
      </c>
      <c r="B18" s="351" t="s">
        <v>923</v>
      </c>
      <c r="C18" s="87"/>
      <c r="D18" s="87"/>
      <c r="E18" s="87"/>
      <c r="F18" s="429" t="s">
        <v>975</v>
      </c>
      <c r="G18" s="1046"/>
      <c r="H18" s="275">
        <v>79</v>
      </c>
      <c r="I18" s="429">
        <v>10714</v>
      </c>
      <c r="J18" s="87"/>
      <c r="K18" s="87"/>
      <c r="L18" s="87"/>
      <c r="M18" s="87"/>
    </row>
    <row r="19" spans="1:13" x14ac:dyDescent="0.2">
      <c r="A19" s="86">
        <v>8</v>
      </c>
      <c r="B19" s="351" t="s">
        <v>882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x14ac:dyDescent="0.2">
      <c r="A20" s="86">
        <v>9</v>
      </c>
      <c r="B20" s="351" t="s">
        <v>883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x14ac:dyDescent="0.2">
      <c r="A21" s="86">
        <v>10</v>
      </c>
      <c r="B21" s="351" t="s">
        <v>884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>
        <v>11</v>
      </c>
      <c r="B22" s="351" t="s">
        <v>885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>
        <v>12</v>
      </c>
      <c r="B23" s="351" t="s">
        <v>886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>
        <v>13</v>
      </c>
      <c r="B24" s="351" t="s">
        <v>887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">
      <c r="A25" s="86">
        <v>14</v>
      </c>
      <c r="B25" s="351" t="s">
        <v>888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x14ac:dyDescent="0.2">
      <c r="A26" s="86">
        <v>15</v>
      </c>
      <c r="B26" s="351" t="s">
        <v>924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x14ac:dyDescent="0.2">
      <c r="A27" s="86">
        <v>16</v>
      </c>
      <c r="B27" s="351" t="s">
        <v>890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x14ac:dyDescent="0.2">
      <c r="A28" s="86">
        <v>17</v>
      </c>
      <c r="B28" s="351" t="s">
        <v>891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x14ac:dyDescent="0.2">
      <c r="A29" s="86">
        <v>18</v>
      </c>
      <c r="B29" s="351" t="s">
        <v>892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x14ac:dyDescent="0.2">
      <c r="A30" s="86">
        <v>19</v>
      </c>
      <c r="B30" s="351" t="s">
        <v>893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x14ac:dyDescent="0.2">
      <c r="A31" s="86">
        <v>20</v>
      </c>
      <c r="B31" s="351" t="s">
        <v>894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x14ac:dyDescent="0.2">
      <c r="A32" s="86">
        <v>21</v>
      </c>
      <c r="B32" s="351" t="s">
        <v>925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6" x14ac:dyDescent="0.2">
      <c r="A33" s="86">
        <v>22</v>
      </c>
      <c r="B33" s="351" t="s">
        <v>896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1:16" x14ac:dyDescent="0.2">
      <c r="A34" s="86">
        <v>23</v>
      </c>
      <c r="B34" s="351" t="s">
        <v>926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1:16" x14ac:dyDescent="0.2">
      <c r="A35" s="86">
        <v>24</v>
      </c>
      <c r="B35" s="351" t="s">
        <v>898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6" s="14" customFormat="1" x14ac:dyDescent="0.2">
      <c r="A36" s="1023" t="s">
        <v>15</v>
      </c>
      <c r="B36" s="1024"/>
      <c r="C36" s="275"/>
      <c r="D36" s="275"/>
      <c r="E36" s="275"/>
      <c r="F36" s="429" t="s">
        <v>975</v>
      </c>
      <c r="G36" s="275">
        <v>1</v>
      </c>
      <c r="H36" s="275">
        <f>SUM(H17:H35)</f>
        <v>376</v>
      </c>
      <c r="I36" s="275">
        <f>SUM(I17:I35)</f>
        <v>45895</v>
      </c>
      <c r="J36" s="275"/>
      <c r="K36" s="275"/>
      <c r="L36" s="275"/>
      <c r="M36" s="275"/>
    </row>
    <row r="37" spans="1:16" x14ac:dyDescent="0.2">
      <c r="A37" s="89"/>
      <c r="B37" s="89"/>
      <c r="C37" s="89"/>
      <c r="D37" s="89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1" spans="1:16" x14ac:dyDescent="0.2">
      <c r="A41" s="335"/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559"/>
      <c r="N41" s="1035"/>
      <c r="O41" s="1035"/>
      <c r="P41" s="1035"/>
    </row>
    <row r="42" spans="1:16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15.75" x14ac:dyDescent="0.25">
      <c r="A43" s="673" t="s">
        <v>11</v>
      </c>
      <c r="B43" s="673"/>
      <c r="C43" s="673"/>
      <c r="D43" s="673"/>
      <c r="E43" s="673"/>
      <c r="F43" s="673"/>
      <c r="G43" s="673"/>
      <c r="H43" s="673"/>
      <c r="I43" s="673"/>
      <c r="J43" s="673"/>
      <c r="K43" s="1028" t="s">
        <v>1107</v>
      </c>
      <c r="L43" s="1028"/>
      <c r="M43" s="1028"/>
      <c r="N43" s="132"/>
      <c r="O43" s="80"/>
      <c r="P43" s="80"/>
    </row>
    <row r="44" spans="1:16" ht="15.75" customHeight="1" x14ac:dyDescent="0.2">
      <c r="A44" s="857" t="s">
        <v>1108</v>
      </c>
      <c r="B44" s="857"/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0"/>
      <c r="O44" s="80"/>
      <c r="P44" s="80"/>
    </row>
    <row r="45" spans="1:16" ht="15.6" customHeight="1" x14ac:dyDescent="0.2">
      <c r="A45" s="857" t="s">
        <v>1112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132"/>
      <c r="O45" s="80"/>
      <c r="P45" s="80"/>
    </row>
    <row r="46" spans="1:16" x14ac:dyDescent="0.2">
      <c r="A46" s="80"/>
      <c r="B46" s="80"/>
      <c r="C46" s="80"/>
      <c r="D46" s="80"/>
      <c r="E46" s="80"/>
      <c r="F46" s="80"/>
      <c r="G46" s="80"/>
      <c r="H46" s="669"/>
      <c r="I46" s="669"/>
      <c r="J46" s="669"/>
      <c r="K46" s="669"/>
      <c r="L46" s="679" t="s">
        <v>1110</v>
      </c>
      <c r="M46" s="679"/>
      <c r="N46" s="33"/>
      <c r="O46" s="33"/>
      <c r="P46" s="33"/>
    </row>
  </sheetData>
  <mergeCells count="15">
    <mergeCell ref="A45:M45"/>
    <mergeCell ref="L1:M1"/>
    <mergeCell ref="A2:M2"/>
    <mergeCell ref="A3:M3"/>
    <mergeCell ref="A5:M5"/>
    <mergeCell ref="A9:A10"/>
    <mergeCell ref="B9:B10"/>
    <mergeCell ref="F9:I9"/>
    <mergeCell ref="G17:G18"/>
    <mergeCell ref="N41:P41"/>
    <mergeCell ref="C9:E9"/>
    <mergeCell ref="A36:B36"/>
    <mergeCell ref="J9:M9"/>
    <mergeCell ref="K43:M43"/>
    <mergeCell ref="A44:M44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A13" zoomScale="84" zoomScaleNormal="100" zoomScaleSheetLayoutView="84" workbookViewId="0">
      <selection activeCell="A39" sqref="A39:K42"/>
    </sheetView>
  </sheetViews>
  <sheetFormatPr defaultRowHeight="12.75" x14ac:dyDescent="0.2"/>
  <cols>
    <col min="1" max="1" width="5.85546875" customWidth="1"/>
    <col min="2" max="2" width="15.42578125" customWidth="1"/>
    <col min="3" max="8" width="1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 x14ac:dyDescent="0.35">
      <c r="A1" s="867" t="s">
        <v>0</v>
      </c>
      <c r="B1" s="867"/>
      <c r="C1" s="867"/>
      <c r="D1" s="867"/>
      <c r="E1" s="867"/>
      <c r="F1" s="867"/>
      <c r="G1" s="867"/>
      <c r="H1" s="867"/>
      <c r="I1" s="867"/>
      <c r="J1" s="997" t="s">
        <v>518</v>
      </c>
      <c r="K1" s="997"/>
    </row>
    <row r="2" spans="1:12" ht="21" x14ac:dyDescent="0.35">
      <c r="A2" s="868" t="s">
        <v>694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</row>
    <row r="3" spans="1:12" ht="15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2" ht="27" customHeight="1" x14ac:dyDescent="0.3">
      <c r="A4" s="1049" t="s">
        <v>825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</row>
    <row r="5" spans="1:12" ht="15" x14ac:dyDescent="0.3">
      <c r="A5" s="191" t="s">
        <v>1098</v>
      </c>
      <c r="B5" s="191"/>
      <c r="C5" s="181"/>
      <c r="D5" s="181"/>
      <c r="E5" s="181"/>
      <c r="F5" s="181"/>
      <c r="G5" s="181"/>
      <c r="H5" s="181"/>
      <c r="I5" s="180"/>
      <c r="J5" s="954" t="s">
        <v>772</v>
      </c>
      <c r="K5" s="954"/>
      <c r="L5" s="954"/>
    </row>
    <row r="6" spans="1:12" ht="27.75" customHeight="1" x14ac:dyDescent="0.2">
      <c r="A6" s="964" t="s">
        <v>1</v>
      </c>
      <c r="B6" s="964" t="s">
        <v>2</v>
      </c>
      <c r="C6" s="964" t="s">
        <v>290</v>
      </c>
      <c r="D6" s="964" t="s">
        <v>291</v>
      </c>
      <c r="E6" s="964"/>
      <c r="F6" s="964"/>
      <c r="G6" s="964"/>
      <c r="H6" s="964"/>
      <c r="I6" s="961" t="s">
        <v>292</v>
      </c>
      <c r="J6" s="962"/>
      <c r="K6" s="963"/>
    </row>
    <row r="7" spans="1:12" ht="90" customHeight="1" x14ac:dyDescent="0.2">
      <c r="A7" s="964"/>
      <c r="B7" s="964"/>
      <c r="C7" s="964"/>
      <c r="D7" s="212" t="s">
        <v>293</v>
      </c>
      <c r="E7" s="212" t="s">
        <v>191</v>
      </c>
      <c r="F7" s="212" t="s">
        <v>441</v>
      </c>
      <c r="G7" s="212" t="s">
        <v>294</v>
      </c>
      <c r="H7" s="212" t="s">
        <v>415</v>
      </c>
      <c r="I7" s="212" t="s">
        <v>295</v>
      </c>
      <c r="J7" s="212" t="s">
        <v>296</v>
      </c>
      <c r="K7" s="212" t="s">
        <v>297</v>
      </c>
    </row>
    <row r="8" spans="1:12" ht="15" x14ac:dyDescent="0.2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183" t="s">
        <v>259</v>
      </c>
      <c r="H8" s="183" t="s">
        <v>260</v>
      </c>
      <c r="I8" s="183" t="s">
        <v>279</v>
      </c>
      <c r="J8" s="183" t="s">
        <v>280</v>
      </c>
      <c r="K8" s="183" t="s">
        <v>281</v>
      </c>
    </row>
    <row r="9" spans="1:12" x14ac:dyDescent="0.2">
      <c r="A9" s="8">
        <v>1</v>
      </c>
      <c r="B9" s="351" t="s">
        <v>875</v>
      </c>
      <c r="C9" s="9"/>
      <c r="D9" s="9"/>
      <c r="E9" s="9"/>
      <c r="F9" s="9"/>
      <c r="G9" s="9"/>
      <c r="H9" s="9"/>
      <c r="I9" s="9"/>
      <c r="J9" s="9"/>
      <c r="K9" s="9"/>
    </row>
    <row r="10" spans="1:12" x14ac:dyDescent="0.2">
      <c r="A10" s="8">
        <v>2</v>
      </c>
      <c r="B10" s="351" t="s">
        <v>876</v>
      </c>
      <c r="C10" s="9"/>
      <c r="D10" s="9"/>
      <c r="E10" s="9"/>
      <c r="F10" s="9"/>
      <c r="G10" s="9"/>
      <c r="H10" s="9"/>
      <c r="I10" s="9"/>
      <c r="J10" s="9"/>
      <c r="K10" s="9"/>
    </row>
    <row r="11" spans="1:12" x14ac:dyDescent="0.2">
      <c r="A11" s="8">
        <v>3</v>
      </c>
      <c r="B11" s="351" t="s">
        <v>877</v>
      </c>
      <c r="C11" s="9"/>
      <c r="D11" s="9"/>
      <c r="E11" s="9"/>
      <c r="F11" s="9"/>
      <c r="G11" s="9"/>
      <c r="H11" s="9"/>
      <c r="I11" s="9"/>
      <c r="J11" s="9"/>
      <c r="K11" s="9"/>
    </row>
    <row r="12" spans="1:12" x14ac:dyDescent="0.2">
      <c r="A12" s="8">
        <v>4</v>
      </c>
      <c r="B12" s="351" t="s">
        <v>878</v>
      </c>
      <c r="C12" s="9"/>
      <c r="D12" s="9"/>
      <c r="E12" s="9"/>
      <c r="F12" s="9"/>
      <c r="G12" s="9"/>
      <c r="H12" s="9"/>
      <c r="I12" s="9"/>
      <c r="J12" s="9"/>
      <c r="K12" s="9"/>
    </row>
    <row r="13" spans="1:12" x14ac:dyDescent="0.2">
      <c r="A13" s="8">
        <v>5</v>
      </c>
      <c r="B13" s="351" t="s">
        <v>879</v>
      </c>
      <c r="C13" s="9"/>
      <c r="D13" s="9"/>
      <c r="E13" s="9"/>
      <c r="F13" s="9"/>
      <c r="G13" s="9"/>
      <c r="H13" s="9"/>
      <c r="I13" s="9"/>
      <c r="J13" s="9"/>
      <c r="K13" s="9"/>
    </row>
    <row r="14" spans="1:12" x14ac:dyDescent="0.2">
      <c r="A14" s="8">
        <v>6</v>
      </c>
      <c r="B14" s="351" t="s">
        <v>880</v>
      </c>
      <c r="C14" s="1047">
        <v>1</v>
      </c>
      <c r="D14" s="663">
        <v>297</v>
      </c>
      <c r="E14" s="429">
        <v>35181</v>
      </c>
      <c r="F14" s="324">
        <v>0</v>
      </c>
      <c r="G14" s="324">
        <v>690</v>
      </c>
      <c r="H14" s="324">
        <f>F14+G14</f>
        <v>690</v>
      </c>
      <c r="I14" s="324">
        <v>0</v>
      </c>
      <c r="J14" s="344">
        <f>H14*1500*10/100000</f>
        <v>103.5</v>
      </c>
      <c r="K14" s="344">
        <f>J14</f>
        <v>103.5</v>
      </c>
    </row>
    <row r="15" spans="1:12" x14ac:dyDescent="0.2">
      <c r="A15" s="8">
        <v>7</v>
      </c>
      <c r="B15" s="351" t="s">
        <v>923</v>
      </c>
      <c r="C15" s="1048"/>
      <c r="D15" s="663">
        <v>79</v>
      </c>
      <c r="E15" s="429">
        <v>10714</v>
      </c>
      <c r="F15" s="324">
        <v>0</v>
      </c>
      <c r="G15" s="324">
        <v>177</v>
      </c>
      <c r="H15" s="324">
        <f>F15+G15</f>
        <v>177</v>
      </c>
      <c r="I15" s="324">
        <v>0</v>
      </c>
      <c r="J15" s="344">
        <f>H15*1500*10/100000</f>
        <v>26.55</v>
      </c>
      <c r="K15" s="344">
        <f>J15</f>
        <v>26.55</v>
      </c>
    </row>
    <row r="16" spans="1:12" x14ac:dyDescent="0.2">
      <c r="A16" s="8">
        <v>8</v>
      </c>
      <c r="B16" s="351" t="s">
        <v>882</v>
      </c>
      <c r="C16" s="631"/>
      <c r="D16" s="631"/>
      <c r="E16" s="631"/>
      <c r="F16" s="631"/>
      <c r="G16" s="631"/>
      <c r="H16" s="631"/>
      <c r="I16" s="631"/>
      <c r="J16" s="631"/>
      <c r="K16" s="631"/>
    </row>
    <row r="17" spans="1:11" x14ac:dyDescent="0.2">
      <c r="A17" s="8">
        <v>9</v>
      </c>
      <c r="B17" s="351" t="s">
        <v>883</v>
      </c>
      <c r="C17" s="631"/>
      <c r="D17" s="631"/>
      <c r="E17" s="631"/>
      <c r="F17" s="631"/>
      <c r="G17" s="631"/>
      <c r="H17" s="631"/>
      <c r="I17" s="631"/>
      <c r="J17" s="631"/>
      <c r="K17" s="631"/>
    </row>
    <row r="18" spans="1:11" x14ac:dyDescent="0.2">
      <c r="A18" s="8">
        <v>10</v>
      </c>
      <c r="B18" s="351" t="s">
        <v>884</v>
      </c>
      <c r="C18" s="631"/>
      <c r="D18" s="631"/>
      <c r="E18" s="631"/>
      <c r="F18" s="631"/>
      <c r="G18" s="631"/>
      <c r="H18" s="631"/>
      <c r="I18" s="631"/>
      <c r="J18" s="631"/>
      <c r="K18" s="631"/>
    </row>
    <row r="19" spans="1:11" x14ac:dyDescent="0.2">
      <c r="A19" s="8">
        <v>11</v>
      </c>
      <c r="B19" s="351" t="s">
        <v>885</v>
      </c>
      <c r="C19" s="631"/>
      <c r="D19" s="631"/>
      <c r="E19" s="631"/>
      <c r="F19" s="631"/>
      <c r="G19" s="631"/>
      <c r="H19" s="631"/>
      <c r="I19" s="631"/>
      <c r="J19" s="631"/>
      <c r="K19" s="631"/>
    </row>
    <row r="20" spans="1:11" x14ac:dyDescent="0.2">
      <c r="A20" s="8">
        <v>12</v>
      </c>
      <c r="B20" s="351" t="s">
        <v>886</v>
      </c>
      <c r="C20" s="631"/>
      <c r="D20" s="631"/>
      <c r="E20" s="631"/>
      <c r="F20" s="631"/>
      <c r="G20" s="631"/>
      <c r="H20" s="631"/>
      <c r="I20" s="631"/>
      <c r="J20" s="631"/>
      <c r="K20" s="631"/>
    </row>
    <row r="21" spans="1:11" x14ac:dyDescent="0.2">
      <c r="A21" s="8">
        <v>13</v>
      </c>
      <c r="B21" s="351" t="s">
        <v>887</v>
      </c>
      <c r="C21" s="631"/>
      <c r="D21" s="631"/>
      <c r="E21" s="631"/>
      <c r="F21" s="631"/>
      <c r="G21" s="631"/>
      <c r="H21" s="631"/>
      <c r="I21" s="631"/>
      <c r="J21" s="631"/>
      <c r="K21" s="631"/>
    </row>
    <row r="22" spans="1:11" x14ac:dyDescent="0.2">
      <c r="A22" s="8">
        <v>14</v>
      </c>
      <c r="B22" s="351" t="s">
        <v>888</v>
      </c>
      <c r="C22" s="631"/>
      <c r="D22" s="631"/>
      <c r="E22" s="631"/>
      <c r="F22" s="631"/>
      <c r="G22" s="631"/>
      <c r="H22" s="631"/>
      <c r="I22" s="631"/>
      <c r="J22" s="631"/>
      <c r="K22" s="631"/>
    </row>
    <row r="23" spans="1:11" x14ac:dyDescent="0.2">
      <c r="A23" s="8">
        <v>15</v>
      </c>
      <c r="B23" s="351" t="s">
        <v>924</v>
      </c>
      <c r="C23" s="631"/>
      <c r="D23" s="631"/>
      <c r="E23" s="631"/>
      <c r="F23" s="631"/>
      <c r="G23" s="631"/>
      <c r="H23" s="631"/>
      <c r="I23" s="631"/>
      <c r="J23" s="631"/>
      <c r="K23" s="631"/>
    </row>
    <row r="24" spans="1:11" x14ac:dyDescent="0.2">
      <c r="A24" s="8">
        <v>16</v>
      </c>
      <c r="B24" s="351" t="s">
        <v>890</v>
      </c>
      <c r="C24" s="631"/>
      <c r="D24" s="631"/>
      <c r="E24" s="631"/>
      <c r="F24" s="631"/>
      <c r="G24" s="631"/>
      <c r="H24" s="631"/>
      <c r="I24" s="631"/>
      <c r="J24" s="631"/>
      <c r="K24" s="631"/>
    </row>
    <row r="25" spans="1:11" x14ac:dyDescent="0.2">
      <c r="A25" s="8">
        <v>17</v>
      </c>
      <c r="B25" s="351" t="s">
        <v>891</v>
      </c>
      <c r="C25" s="631"/>
      <c r="D25" s="631"/>
      <c r="E25" s="631"/>
      <c r="F25" s="631"/>
      <c r="G25" s="631"/>
      <c r="H25" s="631"/>
      <c r="I25" s="631"/>
      <c r="J25" s="631"/>
      <c r="K25" s="631"/>
    </row>
    <row r="26" spans="1:11" x14ac:dyDescent="0.2">
      <c r="A26" s="8">
        <v>18</v>
      </c>
      <c r="B26" s="351" t="s">
        <v>892</v>
      </c>
      <c r="C26" s="631"/>
      <c r="D26" s="631"/>
      <c r="E26" s="631"/>
      <c r="F26" s="631"/>
      <c r="G26" s="631"/>
      <c r="H26" s="631"/>
      <c r="I26" s="631"/>
      <c r="J26" s="631"/>
      <c r="K26" s="631"/>
    </row>
    <row r="27" spans="1:11" x14ac:dyDescent="0.2">
      <c r="A27" s="8">
        <v>19</v>
      </c>
      <c r="B27" s="351" t="s">
        <v>893</v>
      </c>
      <c r="C27" s="631"/>
      <c r="D27" s="631"/>
      <c r="E27" s="631"/>
      <c r="F27" s="631"/>
      <c r="G27" s="631"/>
      <c r="H27" s="631"/>
      <c r="I27" s="631"/>
      <c r="J27" s="631"/>
      <c r="K27" s="631"/>
    </row>
    <row r="28" spans="1:11" x14ac:dyDescent="0.2">
      <c r="A28" s="8">
        <v>20</v>
      </c>
      <c r="B28" s="351" t="s">
        <v>894</v>
      </c>
      <c r="C28" s="631"/>
      <c r="D28" s="631"/>
      <c r="E28" s="631"/>
      <c r="F28" s="631"/>
      <c r="G28" s="631"/>
      <c r="H28" s="631"/>
      <c r="I28" s="631"/>
      <c r="J28" s="631"/>
      <c r="K28" s="631"/>
    </row>
    <row r="29" spans="1:11" x14ac:dyDescent="0.2">
      <c r="A29" s="8">
        <v>21</v>
      </c>
      <c r="B29" s="351" t="s">
        <v>925</v>
      </c>
      <c r="C29" s="631"/>
      <c r="D29" s="631"/>
      <c r="E29" s="631"/>
      <c r="F29" s="631"/>
      <c r="G29" s="631"/>
      <c r="H29" s="631"/>
      <c r="I29" s="631"/>
      <c r="J29" s="631"/>
      <c r="K29" s="631"/>
    </row>
    <row r="30" spans="1:11" x14ac:dyDescent="0.2">
      <c r="A30" s="8">
        <v>22</v>
      </c>
      <c r="B30" s="351" t="s">
        <v>896</v>
      </c>
      <c r="C30" s="631"/>
      <c r="D30" s="631"/>
      <c r="E30" s="631"/>
      <c r="F30" s="631"/>
      <c r="G30" s="631"/>
      <c r="H30" s="631"/>
      <c r="I30" s="631"/>
      <c r="J30" s="631"/>
      <c r="K30" s="631"/>
    </row>
    <row r="31" spans="1:11" x14ac:dyDescent="0.2">
      <c r="A31" s="8">
        <v>23</v>
      </c>
      <c r="B31" s="351" t="s">
        <v>926</v>
      </c>
      <c r="C31" s="631"/>
      <c r="D31" s="631"/>
      <c r="E31" s="631"/>
      <c r="F31" s="631"/>
      <c r="G31" s="631"/>
      <c r="H31" s="631"/>
      <c r="I31" s="631"/>
      <c r="J31" s="631"/>
      <c r="K31" s="631"/>
    </row>
    <row r="32" spans="1:11" x14ac:dyDescent="0.2">
      <c r="A32" s="8">
        <v>24</v>
      </c>
      <c r="B32" s="351" t="s">
        <v>898</v>
      </c>
      <c r="C32" s="631"/>
      <c r="D32" s="631"/>
      <c r="E32" s="631"/>
      <c r="F32" s="631"/>
      <c r="G32" s="631"/>
      <c r="H32" s="631"/>
      <c r="I32" s="631"/>
      <c r="J32" s="631"/>
      <c r="K32" s="631"/>
    </row>
    <row r="33" spans="1:12" s="14" customFormat="1" x14ac:dyDescent="0.2">
      <c r="A33" s="733" t="s">
        <v>15</v>
      </c>
      <c r="B33" s="735"/>
      <c r="C33" s="324">
        <f t="shared" ref="C33:K33" si="0">SUM(C14:C32)</f>
        <v>1</v>
      </c>
      <c r="D33" s="324">
        <f t="shared" si="0"/>
        <v>376</v>
      </c>
      <c r="E33" s="324">
        <f t="shared" si="0"/>
        <v>45895</v>
      </c>
      <c r="F33" s="324">
        <f t="shared" si="0"/>
        <v>0</v>
      </c>
      <c r="G33" s="324">
        <f t="shared" si="0"/>
        <v>867</v>
      </c>
      <c r="H33" s="324">
        <f t="shared" si="0"/>
        <v>867</v>
      </c>
      <c r="I33" s="324">
        <f t="shared" si="0"/>
        <v>0</v>
      </c>
      <c r="J33" s="344">
        <f t="shared" si="0"/>
        <v>130.05000000000001</v>
      </c>
      <c r="K33" s="344">
        <f t="shared" si="0"/>
        <v>130.05000000000001</v>
      </c>
    </row>
    <row r="35" spans="1:12" x14ac:dyDescent="0.2">
      <c r="A35" s="14" t="s">
        <v>442</v>
      </c>
    </row>
    <row r="37" spans="1:12" x14ac:dyDescent="0.2">
      <c r="A37" s="186"/>
      <c r="B37" s="186"/>
      <c r="C37" s="186"/>
      <c r="D37" s="186"/>
      <c r="I37" s="201"/>
      <c r="J37" s="201"/>
      <c r="K37" s="201"/>
    </row>
    <row r="38" spans="1:12" ht="15" customHeight="1" x14ac:dyDescent="0.2">
      <c r="A38" s="186"/>
      <c r="B38" s="186"/>
      <c r="C38" s="186"/>
      <c r="D38" s="186"/>
      <c r="I38" s="201"/>
      <c r="J38" s="201"/>
      <c r="K38" s="201"/>
      <c r="L38" s="201"/>
    </row>
    <row r="39" spans="1:12" ht="15" customHeight="1" x14ac:dyDescent="0.2">
      <c r="A39" s="186"/>
      <c r="B39" s="186"/>
      <c r="C39" s="186"/>
      <c r="D39" s="186"/>
      <c r="E39" s="669"/>
      <c r="F39" s="669"/>
      <c r="G39" s="669"/>
      <c r="H39" s="669"/>
      <c r="I39" s="865" t="s">
        <v>1107</v>
      </c>
      <c r="J39" s="865"/>
      <c r="K39" s="865"/>
      <c r="L39" s="201"/>
    </row>
    <row r="40" spans="1:12" ht="15.6" customHeight="1" x14ac:dyDescent="0.2">
      <c r="A40" s="186"/>
      <c r="B40" s="186"/>
      <c r="C40" s="186"/>
      <c r="D40" s="186"/>
      <c r="E40" s="669"/>
      <c r="F40" s="669"/>
      <c r="G40" s="669"/>
      <c r="H40" s="669"/>
      <c r="I40" s="865" t="s">
        <v>1108</v>
      </c>
      <c r="J40" s="865"/>
      <c r="K40" s="865"/>
    </row>
    <row r="41" spans="1:12" ht="15.6" customHeight="1" x14ac:dyDescent="0.2">
      <c r="A41" s="186"/>
      <c r="B41" s="186"/>
      <c r="C41" s="186"/>
      <c r="D41" s="186"/>
      <c r="E41" s="669"/>
      <c r="F41" s="669"/>
      <c r="G41" s="669"/>
      <c r="H41" s="669"/>
      <c r="I41" s="865" t="s">
        <v>1113</v>
      </c>
      <c r="J41" s="865"/>
      <c r="K41" s="865"/>
    </row>
    <row r="42" spans="1:12" x14ac:dyDescent="0.2">
      <c r="A42" s="186" t="s">
        <v>11</v>
      </c>
      <c r="B42" s="669"/>
      <c r="C42" s="186"/>
      <c r="D42" s="186"/>
      <c r="E42" s="669"/>
      <c r="F42" s="669"/>
      <c r="G42" s="669"/>
      <c r="H42" s="669"/>
      <c r="I42" s="866" t="s">
        <v>1110</v>
      </c>
      <c r="J42" s="866"/>
      <c r="K42" s="191"/>
    </row>
  </sheetData>
  <mergeCells count="16">
    <mergeCell ref="A33:B33"/>
    <mergeCell ref="A1:I1"/>
    <mergeCell ref="J1:K1"/>
    <mergeCell ref="A2:K2"/>
    <mergeCell ref="A4:K4"/>
    <mergeCell ref="J5:L5"/>
    <mergeCell ref="I42:J42"/>
    <mergeCell ref="I41:K41"/>
    <mergeCell ref="C14:C15"/>
    <mergeCell ref="A6:A7"/>
    <mergeCell ref="B6:B7"/>
    <mergeCell ref="C6:C7"/>
    <mergeCell ref="D6:H6"/>
    <mergeCell ref="I39:K39"/>
    <mergeCell ref="I40:K40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topLeftCell="A10" zoomScale="80" zoomScaleNormal="100" zoomScaleSheetLayoutView="80" workbookViewId="0">
      <selection activeCell="P37" sqref="P37"/>
    </sheetView>
  </sheetViews>
  <sheetFormatPr defaultRowHeight="12.75" x14ac:dyDescent="0.2"/>
  <cols>
    <col min="1" max="1" width="7.85546875" customWidth="1"/>
    <col min="2" max="2" width="18.85546875" customWidth="1"/>
    <col min="3" max="15" width="12.7109375" customWidth="1"/>
  </cols>
  <sheetData>
    <row r="1" spans="1:15" ht="18" x14ac:dyDescent="0.35">
      <c r="A1" s="867" t="s">
        <v>0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217" t="s">
        <v>520</v>
      </c>
    </row>
    <row r="2" spans="1:15" ht="21" x14ac:dyDescent="0.35">
      <c r="A2" s="868" t="s">
        <v>694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</row>
    <row r="3" spans="1:15" ht="15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5" ht="18" x14ac:dyDescent="0.35">
      <c r="A4" s="867" t="s">
        <v>519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</row>
    <row r="5" spans="1:15" ht="15" x14ac:dyDescent="0.3">
      <c r="A5" s="191" t="s">
        <v>1098</v>
      </c>
      <c r="B5" s="191"/>
      <c r="C5" s="181"/>
      <c r="D5" s="181"/>
      <c r="E5" s="181"/>
      <c r="F5" s="181"/>
      <c r="G5" s="181"/>
      <c r="H5" s="181"/>
      <c r="I5" s="181"/>
      <c r="J5" s="181"/>
      <c r="K5" s="180"/>
      <c r="M5" s="954" t="s">
        <v>772</v>
      </c>
      <c r="N5" s="954"/>
      <c r="O5" s="954"/>
    </row>
    <row r="6" spans="1:15" ht="44.25" customHeight="1" x14ac:dyDescent="0.2">
      <c r="A6" s="964" t="s">
        <v>1</v>
      </c>
      <c r="B6" s="964" t="s">
        <v>2</v>
      </c>
      <c r="C6" s="964" t="s">
        <v>298</v>
      </c>
      <c r="D6" s="959" t="s">
        <v>299</v>
      </c>
      <c r="E6" s="959" t="s">
        <v>300</v>
      </c>
      <c r="F6" s="959" t="s">
        <v>301</v>
      </c>
      <c r="G6" s="959" t="s">
        <v>302</v>
      </c>
      <c r="H6" s="964" t="s">
        <v>303</v>
      </c>
      <c r="I6" s="964"/>
      <c r="J6" s="964" t="s">
        <v>304</v>
      </c>
      <c r="K6" s="964"/>
      <c r="L6" s="964" t="s">
        <v>305</v>
      </c>
      <c r="M6" s="964"/>
      <c r="N6" s="964" t="s">
        <v>306</v>
      </c>
      <c r="O6" s="964"/>
    </row>
    <row r="7" spans="1:15" ht="61.5" customHeight="1" x14ac:dyDescent="0.2">
      <c r="A7" s="964"/>
      <c r="B7" s="964"/>
      <c r="C7" s="964"/>
      <c r="D7" s="960"/>
      <c r="E7" s="960"/>
      <c r="F7" s="960"/>
      <c r="G7" s="960"/>
      <c r="H7" s="212" t="s">
        <v>307</v>
      </c>
      <c r="I7" s="212" t="s">
        <v>308</v>
      </c>
      <c r="J7" s="212" t="s">
        <v>307</v>
      </c>
      <c r="K7" s="212" t="s">
        <v>308</v>
      </c>
      <c r="L7" s="212" t="s">
        <v>307</v>
      </c>
      <c r="M7" s="212" t="s">
        <v>308</v>
      </c>
      <c r="N7" s="212" t="s">
        <v>307</v>
      </c>
      <c r="O7" s="212" t="s">
        <v>308</v>
      </c>
    </row>
    <row r="8" spans="1:15" ht="15" x14ac:dyDescent="0.2">
      <c r="A8" s="183" t="s">
        <v>253</v>
      </c>
      <c r="B8" s="183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183" t="s">
        <v>259</v>
      </c>
      <c r="H8" s="183" t="s">
        <v>260</v>
      </c>
      <c r="I8" s="183" t="s">
        <v>279</v>
      </c>
      <c r="J8" s="183" t="s">
        <v>280</v>
      </c>
      <c r="K8" s="183" t="s">
        <v>281</v>
      </c>
      <c r="L8" s="183" t="s">
        <v>309</v>
      </c>
      <c r="M8" s="183" t="s">
        <v>310</v>
      </c>
      <c r="N8" s="183" t="s">
        <v>311</v>
      </c>
      <c r="O8" s="183" t="s">
        <v>312</v>
      </c>
    </row>
    <row r="9" spans="1:15" ht="15" x14ac:dyDescent="0.2">
      <c r="A9" s="86">
        <v>1</v>
      </c>
      <c r="B9" s="351" t="s">
        <v>875</v>
      </c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</row>
    <row r="10" spans="1:15" ht="15" x14ac:dyDescent="0.2">
      <c r="A10" s="86">
        <v>2</v>
      </c>
      <c r="B10" s="351" t="s">
        <v>876</v>
      </c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</row>
    <row r="11" spans="1:15" ht="15" x14ac:dyDescent="0.2">
      <c r="A11" s="86">
        <v>3</v>
      </c>
      <c r="B11" s="351" t="s">
        <v>877</v>
      </c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</row>
    <row r="12" spans="1:15" ht="15" x14ac:dyDescent="0.2">
      <c r="A12" s="86">
        <v>4</v>
      </c>
      <c r="B12" s="351" t="s">
        <v>878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</row>
    <row r="13" spans="1:15" ht="15" x14ac:dyDescent="0.2">
      <c r="A13" s="86">
        <v>5</v>
      </c>
      <c r="B13" s="351" t="s">
        <v>879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</row>
    <row r="14" spans="1:15" ht="15" x14ac:dyDescent="0.2">
      <c r="A14" s="86">
        <v>6</v>
      </c>
      <c r="B14" s="351" t="s">
        <v>880</v>
      </c>
      <c r="C14" s="645">
        <v>1</v>
      </c>
      <c r="D14" s="646" t="s">
        <v>975</v>
      </c>
      <c r="E14" s="645">
        <v>297</v>
      </c>
      <c r="F14" s="645">
        <v>35181</v>
      </c>
      <c r="G14" s="646" t="s">
        <v>976</v>
      </c>
      <c r="H14" s="647">
        <f>F14*248*0.0001</f>
        <v>872.48880000000008</v>
      </c>
      <c r="I14" s="647">
        <f>H14</f>
        <v>872.48880000000008</v>
      </c>
      <c r="J14" s="647">
        <f>F14*248*4.13/100000</f>
        <v>360.33787439999998</v>
      </c>
      <c r="K14" s="647">
        <f>J14</f>
        <v>360.33787439999998</v>
      </c>
      <c r="L14" s="645">
        <v>0</v>
      </c>
      <c r="M14" s="645">
        <v>0</v>
      </c>
      <c r="N14" s="645">
        <v>0</v>
      </c>
      <c r="O14" s="645">
        <v>0</v>
      </c>
    </row>
    <row r="15" spans="1:15" ht="15" x14ac:dyDescent="0.2">
      <c r="A15" s="86">
        <v>7</v>
      </c>
      <c r="B15" s="351" t="s">
        <v>923</v>
      </c>
      <c r="C15" s="645">
        <v>1</v>
      </c>
      <c r="D15" s="646" t="s">
        <v>975</v>
      </c>
      <c r="E15" s="645">
        <v>79</v>
      </c>
      <c r="F15" s="645">
        <v>10714</v>
      </c>
      <c r="G15" s="646" t="s">
        <v>977</v>
      </c>
      <c r="H15" s="647">
        <f>F15*0.0001*246</f>
        <v>263.56440000000003</v>
      </c>
      <c r="I15" s="647">
        <f>H15</f>
        <v>263.56440000000003</v>
      </c>
      <c r="J15" s="647">
        <f>F15*4.13*246/100000</f>
        <v>108.8520972</v>
      </c>
      <c r="K15" s="647">
        <f>J15</f>
        <v>108.8520972</v>
      </c>
      <c r="L15" s="645">
        <v>0</v>
      </c>
      <c r="M15" s="645">
        <v>0</v>
      </c>
      <c r="N15" s="645">
        <v>0</v>
      </c>
      <c r="O15" s="645">
        <v>0</v>
      </c>
    </row>
    <row r="16" spans="1:15" ht="15" x14ac:dyDescent="0.2">
      <c r="A16" s="86">
        <v>8</v>
      </c>
      <c r="B16" s="351" t="s">
        <v>882</v>
      </c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</row>
    <row r="17" spans="1:15" ht="15" x14ac:dyDescent="0.2">
      <c r="A17" s="86">
        <v>9</v>
      </c>
      <c r="B17" s="351" t="s">
        <v>883</v>
      </c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</row>
    <row r="18" spans="1:15" ht="15" x14ac:dyDescent="0.2">
      <c r="A18" s="86">
        <v>10</v>
      </c>
      <c r="B18" s="351" t="s">
        <v>884</v>
      </c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</row>
    <row r="19" spans="1:15" ht="15" x14ac:dyDescent="0.2">
      <c r="A19" s="86">
        <v>11</v>
      </c>
      <c r="B19" s="351" t="s">
        <v>885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</row>
    <row r="20" spans="1:15" ht="15" x14ac:dyDescent="0.2">
      <c r="A20" s="86">
        <v>12</v>
      </c>
      <c r="B20" s="351" t="s">
        <v>886</v>
      </c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</row>
    <row r="21" spans="1:15" ht="15" x14ac:dyDescent="0.2">
      <c r="A21" s="86">
        <v>13</v>
      </c>
      <c r="B21" s="351" t="s">
        <v>887</v>
      </c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</row>
    <row r="22" spans="1:15" ht="15" x14ac:dyDescent="0.2">
      <c r="A22" s="86">
        <v>14</v>
      </c>
      <c r="B22" s="351" t="s">
        <v>888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</row>
    <row r="23" spans="1:15" ht="15" x14ac:dyDescent="0.2">
      <c r="A23" s="86">
        <v>15</v>
      </c>
      <c r="B23" s="351" t="s">
        <v>924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</row>
    <row r="24" spans="1:15" x14ac:dyDescent="0.2">
      <c r="A24" s="86">
        <v>16</v>
      </c>
      <c r="B24" s="351" t="s">
        <v>890</v>
      </c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</row>
    <row r="25" spans="1:15" x14ac:dyDescent="0.2">
      <c r="A25" s="86">
        <v>17</v>
      </c>
      <c r="B25" s="351" t="s">
        <v>891</v>
      </c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</row>
    <row r="26" spans="1:15" x14ac:dyDescent="0.2">
      <c r="A26" s="86">
        <v>18</v>
      </c>
      <c r="B26" s="351" t="s">
        <v>892</v>
      </c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</row>
    <row r="27" spans="1:15" x14ac:dyDescent="0.2">
      <c r="A27" s="86">
        <v>19</v>
      </c>
      <c r="B27" s="351" t="s">
        <v>893</v>
      </c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</row>
    <row r="28" spans="1:15" x14ac:dyDescent="0.2">
      <c r="A28" s="86">
        <v>20</v>
      </c>
      <c r="B28" s="351" t="s">
        <v>894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</row>
    <row r="29" spans="1:15" x14ac:dyDescent="0.2">
      <c r="A29" s="86">
        <v>21</v>
      </c>
      <c r="B29" s="351" t="s">
        <v>925</v>
      </c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</row>
    <row r="30" spans="1:15" x14ac:dyDescent="0.2">
      <c r="A30" s="86">
        <v>22</v>
      </c>
      <c r="B30" s="351" t="s">
        <v>896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</row>
    <row r="31" spans="1:15" x14ac:dyDescent="0.2">
      <c r="A31" s="86">
        <v>23</v>
      </c>
      <c r="B31" s="351" t="s">
        <v>926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</row>
    <row r="32" spans="1:15" x14ac:dyDescent="0.2">
      <c r="A32" s="86">
        <v>24</v>
      </c>
      <c r="B32" s="351" t="s">
        <v>898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</row>
    <row r="33" spans="1:15" s="14" customFormat="1" x14ac:dyDescent="0.2">
      <c r="A33" s="1023" t="s">
        <v>15</v>
      </c>
      <c r="B33" s="1024"/>
      <c r="C33" s="324">
        <f>SUM(C14:C32)</f>
        <v>2</v>
      </c>
      <c r="D33" s="324" t="s">
        <v>975</v>
      </c>
      <c r="E33" s="324">
        <f>SUM(E14:E32)</f>
        <v>376</v>
      </c>
      <c r="F33" s="324">
        <f>SUM(F14:F32)</f>
        <v>45895</v>
      </c>
      <c r="G33" s="324"/>
      <c r="H33" s="344">
        <f t="shared" ref="H33:O33" si="0">SUM(H14:H32)</f>
        <v>1136.0532000000001</v>
      </c>
      <c r="I33" s="344">
        <f t="shared" si="0"/>
        <v>1136.0532000000001</v>
      </c>
      <c r="J33" s="344">
        <f t="shared" si="0"/>
        <v>469.18997159999998</v>
      </c>
      <c r="K33" s="344">
        <f t="shared" si="0"/>
        <v>469.18997159999998</v>
      </c>
      <c r="L33" s="324">
        <f t="shared" si="0"/>
        <v>0</v>
      </c>
      <c r="M33" s="324">
        <f t="shared" si="0"/>
        <v>0</v>
      </c>
      <c r="N33" s="324">
        <f t="shared" si="0"/>
        <v>0</v>
      </c>
      <c r="O33" s="324">
        <f t="shared" si="0"/>
        <v>0</v>
      </c>
    </row>
    <row r="35" spans="1:15" x14ac:dyDescent="0.2">
      <c r="A35" s="186"/>
      <c r="B35" s="186"/>
      <c r="C35" s="186"/>
      <c r="D35" s="186"/>
      <c r="L35" s="201"/>
      <c r="M35" s="201"/>
      <c r="N35" s="201"/>
      <c r="O35" s="201"/>
    </row>
    <row r="36" spans="1:15" x14ac:dyDescent="0.2">
      <c r="A36" s="186"/>
      <c r="B36" s="186"/>
      <c r="C36" s="186"/>
      <c r="D36" s="186"/>
      <c r="E36" s="669"/>
      <c r="F36" s="669"/>
      <c r="G36" s="669"/>
      <c r="H36" s="669"/>
      <c r="I36" s="669"/>
      <c r="J36" s="669"/>
      <c r="K36" s="669"/>
      <c r="L36" s="865" t="s">
        <v>1107</v>
      </c>
      <c r="M36" s="865"/>
      <c r="N36" s="865"/>
      <c r="O36" s="865"/>
    </row>
    <row r="37" spans="1:15" x14ac:dyDescent="0.2">
      <c r="A37" s="186"/>
      <c r="B37" s="186"/>
      <c r="C37" s="186"/>
      <c r="D37" s="186"/>
      <c r="E37" s="669"/>
      <c r="F37" s="669"/>
      <c r="G37" s="669"/>
      <c r="H37" s="669"/>
      <c r="I37" s="669"/>
      <c r="J37" s="669"/>
      <c r="K37" s="669"/>
      <c r="L37" s="865" t="s">
        <v>1108</v>
      </c>
      <c r="M37" s="865"/>
      <c r="N37" s="865"/>
      <c r="O37" s="865"/>
    </row>
    <row r="38" spans="1:15" ht="15.75" customHeight="1" x14ac:dyDescent="0.2">
      <c r="A38" s="186"/>
      <c r="B38" s="186"/>
      <c r="C38" s="186"/>
      <c r="D38" s="186"/>
      <c r="E38" s="669"/>
      <c r="F38" s="669"/>
      <c r="G38" s="669"/>
      <c r="H38" s="669"/>
      <c r="I38" s="669"/>
      <c r="J38" s="669"/>
      <c r="K38" s="669"/>
      <c r="L38" s="865" t="s">
        <v>1113</v>
      </c>
      <c r="M38" s="865"/>
      <c r="N38" s="865"/>
      <c r="O38" s="865"/>
    </row>
    <row r="39" spans="1:15" x14ac:dyDescent="0.2">
      <c r="A39" s="186" t="s">
        <v>11</v>
      </c>
      <c r="B39" s="669"/>
      <c r="C39" s="186"/>
      <c r="D39" s="186"/>
      <c r="E39" s="669"/>
      <c r="F39" s="669"/>
      <c r="G39" s="669"/>
      <c r="H39" s="669"/>
      <c r="I39" s="669"/>
      <c r="J39" s="669"/>
      <c r="K39" s="669"/>
      <c r="L39" s="866" t="s">
        <v>1110</v>
      </c>
      <c r="M39" s="866"/>
      <c r="N39" s="866"/>
      <c r="O39" s="191"/>
    </row>
    <row r="40" spans="1:15" ht="15.75" x14ac:dyDescent="0.2">
      <c r="A40" s="567"/>
      <c r="B40" s="567"/>
      <c r="C40" s="80"/>
      <c r="G40" s="567"/>
      <c r="H40" s="567"/>
      <c r="I40" s="132"/>
      <c r="J40" s="132"/>
      <c r="L40" s="566"/>
      <c r="M40" s="567"/>
      <c r="N40" s="567"/>
    </row>
  </sheetData>
  <mergeCells count="20">
    <mergeCell ref="L37:O37"/>
    <mergeCell ref="L38:O38"/>
    <mergeCell ref="L39:N39"/>
    <mergeCell ref="L36:O36"/>
    <mergeCell ref="F6:F7"/>
    <mergeCell ref="G6:G7"/>
    <mergeCell ref="H6:I6"/>
    <mergeCell ref="J6:K6"/>
    <mergeCell ref="L6:M6"/>
    <mergeCell ref="N6:O6"/>
    <mergeCell ref="A33:B33"/>
    <mergeCell ref="A1:N1"/>
    <mergeCell ref="A2:O2"/>
    <mergeCell ref="M5:O5"/>
    <mergeCell ref="A6:A7"/>
    <mergeCell ref="B6:B7"/>
    <mergeCell ref="C6:C7"/>
    <mergeCell ref="D6:D7"/>
    <mergeCell ref="E6:E7"/>
    <mergeCell ref="A4:O4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view="pageBreakPreview" topLeftCell="A4" zoomScale="86" zoomScaleNormal="85" zoomScaleSheetLayoutView="86" workbookViewId="0">
      <selection activeCell="F28" sqref="F28"/>
    </sheetView>
  </sheetViews>
  <sheetFormatPr defaultRowHeight="12.75" x14ac:dyDescent="0.2"/>
  <cols>
    <col min="1" max="1" width="4.85546875" customWidth="1"/>
    <col min="2" max="2" width="19.5703125" customWidth="1"/>
    <col min="3" max="6" width="9.7109375" style="15" customWidth="1"/>
    <col min="7" max="7" width="10.5703125" bestFit="1" customWidth="1"/>
    <col min="8" max="9" width="9.7109375" customWidth="1"/>
    <col min="10" max="10" width="10.85546875" customWidth="1"/>
    <col min="11" max="11" width="12.140625" bestFit="1" customWidth="1"/>
    <col min="12" max="13" width="9.7109375" customWidth="1"/>
    <col min="14" max="18" width="10.5703125" bestFit="1" customWidth="1"/>
    <col min="19" max="19" width="11.42578125" bestFit="1" customWidth="1"/>
    <col min="20" max="20" width="11.7109375" bestFit="1" customWidth="1"/>
    <col min="21" max="21" width="11.28515625" bestFit="1" customWidth="1"/>
    <col min="22" max="22" width="12.42578125" customWidth="1"/>
    <col min="28" max="28" width="11" customWidth="1"/>
    <col min="29" max="30" width="8.85546875" hidden="1" customWidth="1"/>
  </cols>
  <sheetData>
    <row r="2" spans="1:256" x14ac:dyDescent="0.2">
      <c r="G2" s="792"/>
      <c r="H2" s="792"/>
      <c r="I2" s="792"/>
      <c r="J2" s="792"/>
      <c r="K2" s="792"/>
      <c r="L2" s="792"/>
      <c r="M2" s="792"/>
      <c r="N2" s="792"/>
      <c r="O2" s="792"/>
      <c r="P2" s="1"/>
      <c r="Q2" s="1"/>
      <c r="R2" s="1"/>
      <c r="T2" s="44" t="s">
        <v>55</v>
      </c>
    </row>
    <row r="3" spans="1:256" ht="15" x14ac:dyDescent="0.25">
      <c r="A3" s="723" t="s">
        <v>53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</row>
    <row r="4" spans="1:256" ht="15.75" x14ac:dyDescent="0.25">
      <c r="A4" s="788" t="s">
        <v>694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5" x14ac:dyDescent="0.25">
      <c r="A6" s="805" t="s">
        <v>733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</row>
    <row r="7" spans="1:256" ht="15.7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56" ht="15.75" x14ac:dyDescent="0.25">
      <c r="A8" s="33" t="s">
        <v>1098</v>
      </c>
      <c r="B8" s="33"/>
      <c r="C8" s="33"/>
      <c r="D8" s="30"/>
      <c r="E8" s="30"/>
      <c r="F8" s="30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10" spans="1:256" ht="15" x14ac:dyDescent="0.25">
      <c r="U10" s="813" t="s">
        <v>453</v>
      </c>
      <c r="V10" s="813"/>
      <c r="W10" s="15"/>
      <c r="X10" s="15"/>
      <c r="Y10" s="15"/>
      <c r="Z10" s="15"/>
      <c r="AA10" s="15"/>
      <c r="AB10" s="786"/>
      <c r="AC10" s="786"/>
      <c r="AD10" s="786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13" customFormat="1" ht="12.75" customHeight="1" x14ac:dyDescent="0.2">
      <c r="A11" s="818" t="s">
        <v>1</v>
      </c>
      <c r="B11" s="818" t="s">
        <v>104</v>
      </c>
      <c r="C11" s="766" t="s">
        <v>915</v>
      </c>
      <c r="D11" s="812"/>
      <c r="E11" s="812"/>
      <c r="F11" s="767"/>
      <c r="G11" s="766" t="s">
        <v>776</v>
      </c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767"/>
      <c r="S11" s="814" t="s">
        <v>237</v>
      </c>
      <c r="T11" s="815"/>
      <c r="U11" s="815"/>
      <c r="V11" s="815"/>
      <c r="W11" s="312"/>
      <c r="X11" s="312"/>
      <c r="Y11" s="312"/>
      <c r="Z11" s="312"/>
      <c r="AA11" s="312"/>
      <c r="AB11" s="312"/>
      <c r="AC11" s="312"/>
      <c r="AD11" s="312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  <c r="IC11" s="310"/>
      <c r="ID11" s="310"/>
      <c r="IE11" s="310"/>
      <c r="IF11" s="310"/>
      <c r="IG11" s="310"/>
      <c r="IH11" s="310"/>
      <c r="II11" s="310"/>
      <c r="IJ11" s="310"/>
      <c r="IK11" s="310"/>
      <c r="IL11" s="310"/>
      <c r="IM11" s="310"/>
      <c r="IN11" s="310"/>
      <c r="IO11" s="310"/>
      <c r="IP11" s="310"/>
      <c r="IQ11" s="310"/>
      <c r="IR11" s="310"/>
      <c r="IS11" s="310"/>
      <c r="IT11" s="310"/>
      <c r="IU11" s="310"/>
      <c r="IV11" s="310"/>
    </row>
    <row r="12" spans="1:256" s="313" customFormat="1" x14ac:dyDescent="0.2">
      <c r="A12" s="819"/>
      <c r="B12" s="819"/>
      <c r="C12" s="768"/>
      <c r="D12" s="820"/>
      <c r="E12" s="820"/>
      <c r="F12" s="769"/>
      <c r="G12" s="821" t="s">
        <v>167</v>
      </c>
      <c r="H12" s="822"/>
      <c r="I12" s="822"/>
      <c r="J12" s="823"/>
      <c r="K12" s="821" t="s">
        <v>168</v>
      </c>
      <c r="L12" s="822"/>
      <c r="M12" s="822"/>
      <c r="N12" s="823"/>
      <c r="O12" s="776" t="s">
        <v>15</v>
      </c>
      <c r="P12" s="776"/>
      <c r="Q12" s="776"/>
      <c r="R12" s="776"/>
      <c r="S12" s="816"/>
      <c r="T12" s="817"/>
      <c r="U12" s="817"/>
      <c r="V12" s="817"/>
      <c r="W12" s="312"/>
      <c r="X12" s="312"/>
      <c r="Y12" s="312"/>
      <c r="Z12" s="312"/>
      <c r="AA12" s="312"/>
      <c r="AB12" s="312"/>
      <c r="AC12" s="312"/>
      <c r="AD12" s="312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  <c r="FR12" s="310"/>
      <c r="FS12" s="310"/>
      <c r="FT12" s="310"/>
      <c r="FU12" s="310"/>
      <c r="FV12" s="310"/>
      <c r="FW12" s="310"/>
      <c r="FX12" s="310"/>
      <c r="FY12" s="310"/>
      <c r="FZ12" s="310"/>
      <c r="GA12" s="310"/>
      <c r="GB12" s="310"/>
      <c r="GC12" s="310"/>
      <c r="GD12" s="310"/>
      <c r="GE12" s="310"/>
      <c r="GF12" s="310"/>
      <c r="GG12" s="310"/>
      <c r="GH12" s="310"/>
      <c r="GI12" s="310"/>
      <c r="GJ12" s="310"/>
      <c r="GK12" s="310"/>
      <c r="GL12" s="310"/>
      <c r="GM12" s="310"/>
      <c r="GN12" s="310"/>
      <c r="GO12" s="310"/>
      <c r="GP12" s="310"/>
      <c r="GQ12" s="310"/>
      <c r="GR12" s="310"/>
      <c r="GS12" s="310"/>
      <c r="GT12" s="310"/>
      <c r="GU12" s="310"/>
      <c r="GV12" s="310"/>
      <c r="GW12" s="310"/>
      <c r="GX12" s="310"/>
      <c r="GY12" s="310"/>
      <c r="GZ12" s="310"/>
      <c r="HA12" s="310"/>
      <c r="HB12" s="310"/>
      <c r="HC12" s="310"/>
      <c r="HD12" s="310"/>
      <c r="HE12" s="310"/>
      <c r="HF12" s="310"/>
      <c r="HG12" s="310"/>
      <c r="HH12" s="310"/>
      <c r="HI12" s="310"/>
      <c r="HJ12" s="310"/>
      <c r="HK12" s="310"/>
      <c r="HL12" s="310"/>
      <c r="HM12" s="310"/>
      <c r="HN12" s="310"/>
      <c r="HO12" s="310"/>
      <c r="HP12" s="310"/>
      <c r="HQ12" s="310"/>
      <c r="HR12" s="310"/>
      <c r="HS12" s="310"/>
      <c r="HT12" s="310"/>
      <c r="HU12" s="310"/>
      <c r="HV12" s="310"/>
      <c r="HW12" s="310"/>
      <c r="HX12" s="310"/>
      <c r="HY12" s="310"/>
      <c r="HZ12" s="310"/>
      <c r="IA12" s="310"/>
      <c r="IB12" s="310"/>
      <c r="IC12" s="310"/>
      <c r="ID12" s="310"/>
      <c r="IE12" s="310"/>
      <c r="IF12" s="310"/>
      <c r="IG12" s="310"/>
      <c r="IH12" s="310"/>
      <c r="II12" s="310"/>
      <c r="IJ12" s="310"/>
      <c r="IK12" s="310"/>
      <c r="IL12" s="310"/>
      <c r="IM12" s="310"/>
      <c r="IN12" s="310"/>
      <c r="IO12" s="310"/>
      <c r="IP12" s="310"/>
      <c r="IQ12" s="310"/>
      <c r="IR12" s="310"/>
      <c r="IS12" s="310"/>
      <c r="IT12" s="310"/>
      <c r="IU12" s="310"/>
      <c r="IV12" s="310"/>
    </row>
    <row r="13" spans="1:256" ht="38.25" x14ac:dyDescent="0.2">
      <c r="A13" s="160"/>
      <c r="B13" s="160"/>
      <c r="C13" s="159" t="s">
        <v>238</v>
      </c>
      <c r="D13" s="159" t="s">
        <v>239</v>
      </c>
      <c r="E13" s="159" t="s">
        <v>240</v>
      </c>
      <c r="F13" s="159" t="s">
        <v>85</v>
      </c>
      <c r="G13" s="159" t="s">
        <v>238</v>
      </c>
      <c r="H13" s="159" t="s">
        <v>239</v>
      </c>
      <c r="I13" s="159" t="s">
        <v>240</v>
      </c>
      <c r="J13" s="159" t="s">
        <v>15</v>
      </c>
      <c r="K13" s="159" t="s">
        <v>238</v>
      </c>
      <c r="L13" s="159" t="s">
        <v>239</v>
      </c>
      <c r="M13" s="159" t="s">
        <v>240</v>
      </c>
      <c r="N13" s="159" t="s">
        <v>85</v>
      </c>
      <c r="O13" s="159" t="s">
        <v>238</v>
      </c>
      <c r="P13" s="159" t="s">
        <v>239</v>
      </c>
      <c r="Q13" s="159" t="s">
        <v>240</v>
      </c>
      <c r="R13" s="159" t="s">
        <v>15</v>
      </c>
      <c r="S13" s="298" t="s">
        <v>449</v>
      </c>
      <c r="T13" s="298" t="s">
        <v>450</v>
      </c>
      <c r="U13" s="298" t="s">
        <v>451</v>
      </c>
      <c r="V13" s="317" t="s">
        <v>452</v>
      </c>
      <c r="W13" s="118"/>
      <c r="X13" s="118"/>
      <c r="Y13" s="118"/>
      <c r="Z13" s="118"/>
      <c r="AA13" s="118"/>
      <c r="AB13" s="118"/>
      <c r="AC13" s="118"/>
      <c r="AD13" s="118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">
      <c r="A14" s="141">
        <v>1</v>
      </c>
      <c r="B14" s="161">
        <v>2</v>
      </c>
      <c r="C14" s="141">
        <v>3</v>
      </c>
      <c r="D14" s="141">
        <v>4</v>
      </c>
      <c r="E14" s="161">
        <v>5</v>
      </c>
      <c r="F14" s="141">
        <v>6</v>
      </c>
      <c r="G14" s="141">
        <v>7</v>
      </c>
      <c r="H14" s="161">
        <v>8</v>
      </c>
      <c r="I14" s="141">
        <v>9</v>
      </c>
      <c r="J14" s="141">
        <v>10</v>
      </c>
      <c r="K14" s="161">
        <v>11</v>
      </c>
      <c r="L14" s="141">
        <v>12</v>
      </c>
      <c r="M14" s="141">
        <v>13</v>
      </c>
      <c r="N14" s="161">
        <v>14</v>
      </c>
      <c r="O14" s="141">
        <v>15</v>
      </c>
      <c r="P14" s="141">
        <v>16</v>
      </c>
      <c r="Q14" s="161">
        <v>17</v>
      </c>
      <c r="R14" s="141">
        <v>18</v>
      </c>
      <c r="S14" s="141">
        <v>19</v>
      </c>
      <c r="T14" s="161">
        <v>20</v>
      </c>
      <c r="U14" s="141">
        <v>21</v>
      </c>
      <c r="V14" s="141">
        <v>22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x14ac:dyDescent="0.2">
      <c r="A15" s="824" t="s">
        <v>225</v>
      </c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6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x14ac:dyDescent="0.2">
      <c r="A16" s="159">
        <v>1</v>
      </c>
      <c r="B16" s="163" t="s">
        <v>173</v>
      </c>
      <c r="C16" s="806">
        <f>15518.13+17979.56</f>
        <v>33497.69</v>
      </c>
      <c r="D16" s="806">
        <f>4020.8+4356.12</f>
        <v>8376.92</v>
      </c>
      <c r="E16" s="806">
        <f>7772.72+9505.38</f>
        <v>17278.099999999999</v>
      </c>
      <c r="F16" s="809">
        <f>SUM(C16:E16)</f>
        <v>59152.71</v>
      </c>
      <c r="G16" s="799">
        <f>15518.13</f>
        <v>15518.13</v>
      </c>
      <c r="H16" s="799">
        <f>4020.8</f>
        <v>4020.8</v>
      </c>
      <c r="I16" s="799">
        <f>7772.72</f>
        <v>7772.72</v>
      </c>
      <c r="J16" s="799">
        <f>SUM(G16:I16)</f>
        <v>27311.65</v>
      </c>
      <c r="K16" s="804">
        <f>9873.18125</f>
        <v>9873.1812499999996</v>
      </c>
      <c r="L16" s="799">
        <f>2407.7775</f>
        <v>2407.7775000000001</v>
      </c>
      <c r="M16" s="799">
        <f>5678.07625</f>
        <v>5678.0762500000001</v>
      </c>
      <c r="N16" s="799">
        <f>SUM(K16:M16)</f>
        <v>17959.035</v>
      </c>
      <c r="O16" s="799">
        <f>G16+L16</f>
        <v>17925.907500000001</v>
      </c>
      <c r="P16" s="799">
        <f>H16+L16</f>
        <v>6428.5775000000003</v>
      </c>
      <c r="Q16" s="799">
        <f>I16+M16</f>
        <v>13450.796249999999</v>
      </c>
      <c r="R16" s="799">
        <f>J16+O16</f>
        <v>45237.557500000003</v>
      </c>
      <c r="S16" s="799">
        <f>C16-O16</f>
        <v>15571.782500000001</v>
      </c>
      <c r="T16" s="799">
        <f>D16-P16</f>
        <v>1948.3424999999997</v>
      </c>
      <c r="U16" s="799">
        <f>E16-Q16</f>
        <v>3827.3037499999991</v>
      </c>
      <c r="V16" s="799">
        <f>SUM(S16:U16)</f>
        <v>21347.428749999999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37" x14ac:dyDescent="0.2">
      <c r="A17" s="159">
        <v>2</v>
      </c>
      <c r="B17" s="164" t="s">
        <v>120</v>
      </c>
      <c r="C17" s="807"/>
      <c r="D17" s="807"/>
      <c r="E17" s="807"/>
      <c r="F17" s="810"/>
      <c r="G17" s="800"/>
      <c r="H17" s="800"/>
      <c r="I17" s="800"/>
      <c r="J17" s="802"/>
      <c r="K17" s="802"/>
      <c r="L17" s="800"/>
      <c r="M17" s="800"/>
      <c r="N17" s="800"/>
      <c r="O17" s="802"/>
      <c r="P17" s="802"/>
      <c r="Q17" s="802"/>
      <c r="R17" s="802"/>
      <c r="S17" s="802"/>
      <c r="T17" s="802"/>
      <c r="U17" s="802"/>
      <c r="V17" s="802"/>
      <c r="Y17" s="791"/>
      <c r="Z17" s="791"/>
      <c r="AA17" s="791"/>
      <c r="AB17" s="791"/>
    </row>
    <row r="18" spans="1:37" ht="25.5" x14ac:dyDescent="0.2">
      <c r="A18" s="159">
        <v>3</v>
      </c>
      <c r="B18" s="163" t="s">
        <v>121</v>
      </c>
      <c r="C18" s="807"/>
      <c r="D18" s="807"/>
      <c r="E18" s="807"/>
      <c r="F18" s="810"/>
      <c r="G18" s="800"/>
      <c r="H18" s="800"/>
      <c r="I18" s="800"/>
      <c r="J18" s="802"/>
      <c r="K18" s="802"/>
      <c r="L18" s="800"/>
      <c r="M18" s="800"/>
      <c r="N18" s="800"/>
      <c r="O18" s="802"/>
      <c r="P18" s="802"/>
      <c r="Q18" s="802"/>
      <c r="R18" s="802"/>
      <c r="S18" s="802"/>
      <c r="T18" s="802"/>
      <c r="U18" s="802"/>
      <c r="V18" s="802"/>
    </row>
    <row r="19" spans="1:37" x14ac:dyDescent="0.2">
      <c r="A19" s="159">
        <v>4</v>
      </c>
      <c r="B19" s="164" t="s">
        <v>122</v>
      </c>
      <c r="C19" s="808"/>
      <c r="D19" s="808"/>
      <c r="E19" s="808"/>
      <c r="F19" s="811"/>
      <c r="G19" s="801"/>
      <c r="H19" s="801"/>
      <c r="I19" s="801"/>
      <c r="J19" s="803"/>
      <c r="K19" s="803"/>
      <c r="L19" s="801"/>
      <c r="M19" s="801"/>
      <c r="N19" s="801"/>
      <c r="O19" s="803"/>
      <c r="P19" s="803"/>
      <c r="Q19" s="803"/>
      <c r="R19" s="803"/>
      <c r="S19" s="803"/>
      <c r="T19" s="803"/>
      <c r="U19" s="803"/>
      <c r="V19" s="803"/>
    </row>
    <row r="20" spans="1:37" ht="25.5" x14ac:dyDescent="0.2">
      <c r="A20" s="159">
        <v>5</v>
      </c>
      <c r="B20" s="163" t="s">
        <v>123</v>
      </c>
      <c r="C20" s="492">
        <f>2705.1+3982.65</f>
        <v>6687.75</v>
      </c>
      <c r="D20" s="492">
        <f>722.48+963.72</f>
        <v>1686.2</v>
      </c>
      <c r="E20" s="492">
        <f>1393.01+2339.57</f>
        <v>3732.58</v>
      </c>
      <c r="F20" s="600">
        <f>SUM(C20:E20)</f>
        <v>12106.53</v>
      </c>
      <c r="G20" s="382">
        <f>2705.1</f>
        <v>2705.1</v>
      </c>
      <c r="H20" s="329">
        <f>721.6618</f>
        <v>721.66179999999997</v>
      </c>
      <c r="I20" s="382">
        <f>1389.0946</f>
        <v>1389.0945999999999</v>
      </c>
      <c r="J20" s="382">
        <f>SUM(G20:I20)</f>
        <v>4815.8563999999997</v>
      </c>
      <c r="K20" s="382">
        <f>2176.266</f>
        <v>2176.2660000000001</v>
      </c>
      <c r="L20" s="382">
        <f>529.064</f>
        <v>529.06399999999996</v>
      </c>
      <c r="M20" s="382">
        <f>1259.72</f>
        <v>1259.72</v>
      </c>
      <c r="N20" s="382">
        <f>SUM(K20:M20)</f>
        <v>3965.05</v>
      </c>
      <c r="O20" s="382">
        <f>G20+K20</f>
        <v>4881.366</v>
      </c>
      <c r="P20" s="382">
        <f>H20+L20</f>
        <v>1250.7257999999999</v>
      </c>
      <c r="Q20" s="382">
        <f>I20+M20</f>
        <v>2648.8145999999997</v>
      </c>
      <c r="R20" s="382">
        <f>SUM(O20:Q20)</f>
        <v>8780.9063999999998</v>
      </c>
      <c r="S20" s="382">
        <f>C20-O20</f>
        <v>1806.384</v>
      </c>
      <c r="T20" s="382">
        <f>D20-P20</f>
        <v>435.47420000000011</v>
      </c>
      <c r="U20" s="382">
        <f>E20-Q20</f>
        <v>1083.7654000000002</v>
      </c>
      <c r="V20" s="382">
        <f>SUM(S20:U20)</f>
        <v>3325.6236000000004</v>
      </c>
    </row>
    <row r="21" spans="1:37" s="14" customFormat="1" ht="12.75" customHeight="1" x14ac:dyDescent="0.2">
      <c r="A21" s="830" t="s">
        <v>85</v>
      </c>
      <c r="B21" s="831"/>
      <c r="C21" s="601">
        <f>C16+C20</f>
        <v>40185.440000000002</v>
      </c>
      <c r="D21" s="601">
        <f>D16+D20</f>
        <v>10063.120000000001</v>
      </c>
      <c r="E21" s="601">
        <f>E16+E20</f>
        <v>21010.68</v>
      </c>
      <c r="F21" s="601">
        <f>F16+F20</f>
        <v>71259.240000000005</v>
      </c>
      <c r="G21" s="316">
        <f t="shared" ref="G21:V21" si="0">SUM(G16:G20)</f>
        <v>18223.23</v>
      </c>
      <c r="H21" s="316">
        <f t="shared" si="0"/>
        <v>4742.4618</v>
      </c>
      <c r="I21" s="316">
        <f t="shared" si="0"/>
        <v>9161.8145999999997</v>
      </c>
      <c r="J21" s="316">
        <f t="shared" si="0"/>
        <v>32127.506400000002</v>
      </c>
      <c r="K21" s="318">
        <f t="shared" si="0"/>
        <v>12049.447249999999</v>
      </c>
      <c r="L21" s="318">
        <f t="shared" si="0"/>
        <v>2936.8415</v>
      </c>
      <c r="M21" s="318">
        <f t="shared" si="0"/>
        <v>6937.7962500000003</v>
      </c>
      <c r="N21" s="318">
        <f t="shared" si="0"/>
        <v>21924.084999999999</v>
      </c>
      <c r="O21" s="316">
        <f t="shared" si="0"/>
        <v>22807.273500000003</v>
      </c>
      <c r="P21" s="316">
        <f t="shared" si="0"/>
        <v>7679.3033000000005</v>
      </c>
      <c r="Q21" s="316">
        <f t="shared" si="0"/>
        <v>16099.610849999999</v>
      </c>
      <c r="R21" s="316">
        <f t="shared" si="0"/>
        <v>54018.463900000002</v>
      </c>
      <c r="S21" s="316">
        <f t="shared" si="0"/>
        <v>17378.166499999999</v>
      </c>
      <c r="T21" s="316">
        <f t="shared" si="0"/>
        <v>2383.8166999999999</v>
      </c>
      <c r="U21" s="316">
        <f t="shared" si="0"/>
        <v>4911.0691499999994</v>
      </c>
      <c r="V21" s="316">
        <f t="shared" si="0"/>
        <v>24673.052349999998</v>
      </c>
    </row>
    <row r="22" spans="1:37" ht="15" customHeight="1" x14ac:dyDescent="0.2">
      <c r="A22" s="796" t="s">
        <v>226</v>
      </c>
      <c r="B22" s="797"/>
      <c r="C22" s="797"/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7"/>
      <c r="V22" s="798"/>
    </row>
    <row r="23" spans="1:37" x14ac:dyDescent="0.2">
      <c r="A23" s="159">
        <v>6</v>
      </c>
      <c r="B23" s="163" t="s">
        <v>175</v>
      </c>
      <c r="C23" s="806">
        <v>154.38</v>
      </c>
      <c r="D23" s="806">
        <v>42.96</v>
      </c>
      <c r="E23" s="806">
        <v>66.459999999999994</v>
      </c>
      <c r="F23" s="806">
        <f>SUM(C23:E23)</f>
        <v>263.8</v>
      </c>
      <c r="G23" s="827">
        <f>154.38</f>
        <v>154.38</v>
      </c>
      <c r="H23" s="827">
        <f>42.96</f>
        <v>42.96</v>
      </c>
      <c r="I23" s="827">
        <v>66.459999999999994</v>
      </c>
      <c r="J23" s="827">
        <f>SUM(G23:I23)</f>
        <v>263.8</v>
      </c>
      <c r="K23" s="827">
        <v>0</v>
      </c>
      <c r="L23" s="827">
        <v>0</v>
      </c>
      <c r="M23" s="827">
        <v>0</v>
      </c>
      <c r="N23" s="827">
        <v>0</v>
      </c>
      <c r="O23" s="827">
        <f>G23+K23</f>
        <v>154.38</v>
      </c>
      <c r="P23" s="827">
        <f>H23+L23</f>
        <v>42.96</v>
      </c>
      <c r="Q23" s="827">
        <f>I23+M23</f>
        <v>66.459999999999994</v>
      </c>
      <c r="R23" s="827">
        <f>SUM(O23:Q23)</f>
        <v>263.8</v>
      </c>
      <c r="S23" s="827">
        <f>C23-O23</f>
        <v>0</v>
      </c>
      <c r="T23" s="827">
        <f>D23-P23</f>
        <v>0</v>
      </c>
      <c r="U23" s="827">
        <f>E23-Q23</f>
        <v>0</v>
      </c>
      <c r="V23" s="827">
        <f>SUM(S23:U23)</f>
        <v>0</v>
      </c>
    </row>
    <row r="24" spans="1:37" x14ac:dyDescent="0.2">
      <c r="A24" s="159">
        <v>7</v>
      </c>
      <c r="B24" s="164" t="s">
        <v>125</v>
      </c>
      <c r="C24" s="808"/>
      <c r="D24" s="808"/>
      <c r="E24" s="808"/>
      <c r="F24" s="80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8"/>
      <c r="S24" s="829"/>
      <c r="T24" s="829"/>
      <c r="U24" s="829"/>
      <c r="V24" s="829"/>
    </row>
    <row r="25" spans="1:37" s="14" customFormat="1" x14ac:dyDescent="0.2">
      <c r="A25" s="314"/>
      <c r="B25" s="164" t="s">
        <v>85</v>
      </c>
      <c r="C25" s="491">
        <f>C23</f>
        <v>154.38</v>
      </c>
      <c r="D25" s="491">
        <f>D23</f>
        <v>42.96</v>
      </c>
      <c r="E25" s="491">
        <f>E23</f>
        <v>66.459999999999994</v>
      </c>
      <c r="F25" s="491">
        <f>F23</f>
        <v>263.8</v>
      </c>
      <c r="G25" s="315">
        <f>G23</f>
        <v>154.38</v>
      </c>
      <c r="H25" s="315">
        <f t="shared" ref="H25:N25" si="1">H23</f>
        <v>42.96</v>
      </c>
      <c r="I25" s="315">
        <f t="shared" si="1"/>
        <v>66.459999999999994</v>
      </c>
      <c r="J25" s="315">
        <f t="shared" si="1"/>
        <v>263.8</v>
      </c>
      <c r="K25" s="315">
        <f t="shared" si="1"/>
        <v>0</v>
      </c>
      <c r="L25" s="315">
        <f t="shared" si="1"/>
        <v>0</v>
      </c>
      <c r="M25" s="315">
        <f t="shared" si="1"/>
        <v>0</v>
      </c>
      <c r="N25" s="315">
        <f t="shared" si="1"/>
        <v>0</v>
      </c>
      <c r="O25" s="315">
        <f>G25+K25</f>
        <v>154.38</v>
      </c>
      <c r="P25" s="315">
        <f>H25+L25</f>
        <v>42.96</v>
      </c>
      <c r="Q25" s="315">
        <f>I25+M25</f>
        <v>66.459999999999994</v>
      </c>
      <c r="R25" s="315">
        <f>SUM(O25:Q25)</f>
        <v>263.8</v>
      </c>
      <c r="S25" s="315">
        <f>S23</f>
        <v>0</v>
      </c>
      <c r="T25" s="315">
        <f>T23</f>
        <v>0</v>
      </c>
      <c r="U25" s="315">
        <f>U23</f>
        <v>0</v>
      </c>
      <c r="V25" s="315">
        <f>V23</f>
        <v>0</v>
      </c>
    </row>
    <row r="26" spans="1:37" s="14" customFormat="1" x14ac:dyDescent="0.2">
      <c r="A26" s="832" t="s">
        <v>32</v>
      </c>
      <c r="B26" s="833"/>
      <c r="C26" s="491">
        <f>C21+C25</f>
        <v>40339.82</v>
      </c>
      <c r="D26" s="491">
        <f>D21+D25</f>
        <v>10106.08</v>
      </c>
      <c r="E26" s="491">
        <f>E21+E25</f>
        <v>21077.14</v>
      </c>
      <c r="F26" s="491">
        <f>F21+F25</f>
        <v>71523.040000000008</v>
      </c>
      <c r="G26" s="315">
        <f>G21+G25</f>
        <v>18377.61</v>
      </c>
      <c r="H26" s="315">
        <f t="shared" ref="H26:R26" si="2">H21+H25</f>
        <v>4785.4218000000001</v>
      </c>
      <c r="I26" s="315">
        <f t="shared" si="2"/>
        <v>9228.2745999999988</v>
      </c>
      <c r="J26" s="315">
        <f t="shared" si="2"/>
        <v>32391.306400000001</v>
      </c>
      <c r="K26" s="315">
        <f t="shared" si="2"/>
        <v>12049.447249999999</v>
      </c>
      <c r="L26" s="315">
        <f t="shared" si="2"/>
        <v>2936.8415</v>
      </c>
      <c r="M26" s="315">
        <f t="shared" si="2"/>
        <v>6937.7962500000003</v>
      </c>
      <c r="N26" s="315">
        <f t="shared" si="2"/>
        <v>21924.084999999999</v>
      </c>
      <c r="O26" s="315">
        <f t="shared" si="2"/>
        <v>22961.653500000004</v>
      </c>
      <c r="P26" s="315">
        <f t="shared" si="2"/>
        <v>7722.2633000000005</v>
      </c>
      <c r="Q26" s="315">
        <f t="shared" si="2"/>
        <v>16166.070849999998</v>
      </c>
      <c r="R26" s="315">
        <f t="shared" si="2"/>
        <v>54282.263900000005</v>
      </c>
      <c r="S26" s="315">
        <f>S21+S25</f>
        <v>17378.166499999999</v>
      </c>
      <c r="T26" s="315">
        <f>T21+T25</f>
        <v>2383.8166999999999</v>
      </c>
      <c r="U26" s="315">
        <f>U21+U25</f>
        <v>4911.0691499999994</v>
      </c>
      <c r="V26" s="315">
        <f>V21+V25</f>
        <v>24673.052349999998</v>
      </c>
    </row>
    <row r="27" spans="1:37" s="14" customFormat="1" x14ac:dyDescent="0.2">
      <c r="A27" s="568"/>
      <c r="B27" s="568"/>
      <c r="C27" s="602"/>
      <c r="D27" s="602"/>
      <c r="E27" s="602"/>
      <c r="F27" s="602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</row>
    <row r="28" spans="1:37" s="14" customFormat="1" x14ac:dyDescent="0.2">
      <c r="A28" s="568"/>
      <c r="B28" s="568"/>
      <c r="C28" s="602"/>
      <c r="D28" s="602"/>
      <c r="E28" s="602"/>
      <c r="F28" s="710">
        <f>R26/F26</f>
        <v>0.75894794041192881</v>
      </c>
      <c r="G28" s="711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</row>
    <row r="29" spans="1:37" s="14" customFormat="1" x14ac:dyDescent="0.2">
      <c r="A29" s="568"/>
      <c r="B29" s="568"/>
      <c r="C29" s="602"/>
      <c r="D29" s="602"/>
      <c r="E29" s="602"/>
      <c r="F29" s="602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</row>
    <row r="30" spans="1:37" x14ac:dyDescent="0.2">
      <c r="A30" s="670" t="s">
        <v>11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670"/>
      <c r="S30" s="757" t="s">
        <v>1107</v>
      </c>
      <c r="T30" s="757"/>
      <c r="U30" s="667"/>
      <c r="V30" s="670"/>
      <c r="W30" s="671"/>
      <c r="X30" s="671"/>
      <c r="Y30" s="671"/>
      <c r="Z30" s="671"/>
      <c r="AA30" s="671"/>
      <c r="AB30" s="669"/>
      <c r="AC30" s="669"/>
      <c r="AD30" s="669"/>
      <c r="AE30" s="671"/>
      <c r="AF30" s="671"/>
      <c r="AG30" s="669"/>
      <c r="AH30" s="669"/>
      <c r="AI30" s="669"/>
      <c r="AJ30" s="669"/>
      <c r="AK30" s="669"/>
    </row>
    <row r="31" spans="1:37" ht="13.15" customHeight="1" x14ac:dyDescent="0.2"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757" t="s">
        <v>1108</v>
      </c>
      <c r="T31" s="757"/>
      <c r="U31" s="757"/>
      <c r="V31" s="757"/>
      <c r="W31" s="667"/>
      <c r="X31" s="667"/>
      <c r="Y31" s="667"/>
      <c r="Z31" s="667"/>
      <c r="AA31" s="667"/>
      <c r="AB31" s="667"/>
      <c r="AC31" s="667"/>
      <c r="AD31" s="667"/>
      <c r="AE31" s="671"/>
      <c r="AF31" s="671"/>
      <c r="AG31" s="669"/>
      <c r="AH31" s="669"/>
      <c r="AI31" s="669"/>
      <c r="AJ31" s="669"/>
      <c r="AK31" s="669"/>
    </row>
    <row r="32" spans="1:37" ht="12.75" customHeight="1" x14ac:dyDescent="0.2">
      <c r="A32" s="758" t="s">
        <v>1111</v>
      </c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</row>
    <row r="33" spans="1:37" ht="12.75" customHeight="1" x14ac:dyDescent="0.2">
      <c r="A33" s="670"/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2" t="s">
        <v>1110</v>
      </c>
      <c r="T33" s="672"/>
      <c r="U33" s="672"/>
      <c r="V33" s="672"/>
      <c r="W33" s="670"/>
      <c r="X33" s="670"/>
      <c r="Y33" s="670"/>
      <c r="Z33" s="670"/>
      <c r="AA33" s="669"/>
      <c r="AB33" s="669"/>
      <c r="AC33" s="669"/>
      <c r="AD33" s="669"/>
      <c r="AE33" s="670"/>
      <c r="AF33" s="670"/>
      <c r="AG33" s="669"/>
      <c r="AH33" s="669"/>
      <c r="AI33" s="669"/>
      <c r="AJ33" s="669"/>
      <c r="AK33" s="669"/>
    </row>
    <row r="34" spans="1:37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"/>
      <c r="V34" s="1"/>
      <c r="W34" s="14"/>
      <c r="X34" s="14"/>
      <c r="Y34" s="14"/>
      <c r="Z34" s="14"/>
      <c r="AE34" s="14"/>
      <c r="AF34" s="14"/>
    </row>
  </sheetData>
  <mergeCells count="62">
    <mergeCell ref="R23:R24"/>
    <mergeCell ref="S23:S24"/>
    <mergeCell ref="A21:B21"/>
    <mergeCell ref="A26:B26"/>
    <mergeCell ref="O23:O24"/>
    <mergeCell ref="P23:P24"/>
    <mergeCell ref="Q23:Q24"/>
    <mergeCell ref="L23:L24"/>
    <mergeCell ref="M23:M24"/>
    <mergeCell ref="N23:N24"/>
    <mergeCell ref="A32:S32"/>
    <mergeCell ref="S30:T30"/>
    <mergeCell ref="S31:V31"/>
    <mergeCell ref="U23:U24"/>
    <mergeCell ref="V23:V24"/>
    <mergeCell ref="Q16:Q19"/>
    <mergeCell ref="T23:T24"/>
    <mergeCell ref="I23:I24"/>
    <mergeCell ref="J23:J24"/>
    <mergeCell ref="K23:K24"/>
    <mergeCell ref="C23:C24"/>
    <mergeCell ref="D23:D24"/>
    <mergeCell ref="E23:E24"/>
    <mergeCell ref="F23:F24"/>
    <mergeCell ref="G23:G24"/>
    <mergeCell ref="H23:H24"/>
    <mergeCell ref="P16:P19"/>
    <mergeCell ref="V16:V19"/>
    <mergeCell ref="R16:R19"/>
    <mergeCell ref="S16:S19"/>
    <mergeCell ref="T16:T19"/>
    <mergeCell ref="U16:U19"/>
    <mergeCell ref="Y17:AB17"/>
    <mergeCell ref="AB10:AD10"/>
    <mergeCell ref="A11:A12"/>
    <mergeCell ref="B11:B12"/>
    <mergeCell ref="C11:F12"/>
    <mergeCell ref="G12:J12"/>
    <mergeCell ref="K12:N12"/>
    <mergeCell ref="A15:V15"/>
    <mergeCell ref="C16:C19"/>
    <mergeCell ref="D16:D19"/>
    <mergeCell ref="G2:O2"/>
    <mergeCell ref="A3:U3"/>
    <mergeCell ref="A4:U4"/>
    <mergeCell ref="A6:U6"/>
    <mergeCell ref="E16:E19"/>
    <mergeCell ref="F16:F19"/>
    <mergeCell ref="O12:R12"/>
    <mergeCell ref="G11:R11"/>
    <mergeCell ref="U10:V10"/>
    <mergeCell ref="S11:V12"/>
    <mergeCell ref="A22:V22"/>
    <mergeCell ref="G16:G19"/>
    <mergeCell ref="H16:H19"/>
    <mergeCell ref="I16:I19"/>
    <mergeCell ref="J16:J19"/>
    <mergeCell ref="K16:K19"/>
    <mergeCell ref="L16:L19"/>
    <mergeCell ref="M16:M19"/>
    <mergeCell ref="N16:N19"/>
    <mergeCell ref="O16:O19"/>
  </mergeCells>
  <printOptions horizontalCentered="1"/>
  <pageMargins left="0.70866141732283472" right="0.70866141732283472" top="0.23622047244094491" bottom="0" header="0.31496062992125984" footer="0.31496062992125984"/>
  <pageSetup paperSize="9" scale="5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view="pageBreakPreview" topLeftCell="A13" zoomScale="90" zoomScaleNormal="100" zoomScaleSheetLayoutView="90" workbookViewId="0">
      <selection activeCell="E36" sqref="E36:P36"/>
    </sheetView>
  </sheetViews>
  <sheetFormatPr defaultRowHeight="12.75" x14ac:dyDescent="0.2"/>
  <cols>
    <col min="1" max="1" width="8.5703125" style="186" customWidth="1"/>
    <col min="2" max="2" width="24.5703125" style="186" bestFit="1" customWidth="1"/>
    <col min="3" max="3" width="12" style="186" customWidth="1"/>
    <col min="4" max="4" width="15.140625" style="186" customWidth="1"/>
    <col min="5" max="16" width="12.140625" style="186" customWidth="1"/>
    <col min="17" max="16384" width="9.140625" style="186"/>
  </cols>
  <sheetData>
    <row r="1" spans="1:21" x14ac:dyDescent="0.2">
      <c r="H1" s="866"/>
      <c r="I1" s="866"/>
      <c r="L1" s="189" t="s">
        <v>521</v>
      </c>
    </row>
    <row r="2" spans="1:21" x14ac:dyDescent="0.2">
      <c r="D2" s="866" t="s">
        <v>473</v>
      </c>
      <c r="E2" s="866"/>
      <c r="F2" s="866"/>
      <c r="G2" s="866"/>
      <c r="H2" s="188"/>
      <c r="I2" s="188"/>
      <c r="L2" s="189"/>
    </row>
    <row r="3" spans="1:21" s="190" customFormat="1" ht="15.75" x14ac:dyDescent="0.25">
      <c r="A3" s="1051" t="s">
        <v>697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</row>
    <row r="4" spans="1:21" s="190" customFormat="1" ht="20.25" customHeight="1" x14ac:dyDescent="0.25">
      <c r="A4" s="1051" t="s">
        <v>763</v>
      </c>
      <c r="B4" s="1051"/>
      <c r="C4" s="1051"/>
      <c r="D4" s="1051"/>
      <c r="E4" s="1051"/>
      <c r="F4" s="1051"/>
      <c r="G4" s="1051"/>
      <c r="H4" s="1051"/>
      <c r="I4" s="1051"/>
      <c r="J4" s="1051"/>
      <c r="K4" s="1051"/>
      <c r="L4" s="1051"/>
      <c r="M4" s="1051"/>
    </row>
    <row r="6" spans="1:21" x14ac:dyDescent="0.2">
      <c r="A6" s="191" t="s">
        <v>1098</v>
      </c>
      <c r="B6" s="191"/>
      <c r="C6" s="193"/>
      <c r="D6" s="193"/>
      <c r="E6" s="193"/>
      <c r="F6" s="193"/>
      <c r="G6" s="193"/>
      <c r="H6" s="193"/>
      <c r="I6" s="193"/>
      <c r="J6" s="193"/>
      <c r="U6" s="186" t="s">
        <v>10</v>
      </c>
    </row>
    <row r="8" spans="1:21" s="194" customFormat="1" ht="15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872" t="s">
        <v>772</v>
      </c>
      <c r="L8" s="872"/>
      <c r="M8" s="872"/>
      <c r="N8" s="872"/>
      <c r="O8" s="872"/>
      <c r="P8" s="872"/>
    </row>
    <row r="9" spans="1:21" s="194" customFormat="1" ht="20.25" customHeight="1" x14ac:dyDescent="0.2">
      <c r="A9" s="959" t="s">
        <v>1</v>
      </c>
      <c r="B9" s="959" t="s">
        <v>2</v>
      </c>
      <c r="C9" s="968" t="s">
        <v>262</v>
      </c>
      <c r="D9" s="968" t="s">
        <v>263</v>
      </c>
      <c r="E9" s="1050" t="s">
        <v>264</v>
      </c>
      <c r="F9" s="1050"/>
      <c r="G9" s="1050"/>
      <c r="H9" s="1050"/>
      <c r="I9" s="1050"/>
      <c r="J9" s="1050"/>
      <c r="K9" s="1050"/>
      <c r="L9" s="1050"/>
      <c r="M9" s="1050"/>
      <c r="N9" s="1050"/>
      <c r="O9" s="1050"/>
      <c r="P9" s="1050"/>
    </row>
    <row r="10" spans="1:21" s="194" customFormat="1" ht="35.25" customHeight="1" x14ac:dyDescent="0.2">
      <c r="A10" s="1052"/>
      <c r="B10" s="1052"/>
      <c r="C10" s="969"/>
      <c r="D10" s="969"/>
      <c r="E10" s="257" t="s">
        <v>788</v>
      </c>
      <c r="F10" s="257" t="s">
        <v>265</v>
      </c>
      <c r="G10" s="257" t="s">
        <v>266</v>
      </c>
      <c r="H10" s="257" t="s">
        <v>267</v>
      </c>
      <c r="I10" s="257" t="s">
        <v>268</v>
      </c>
      <c r="J10" s="257" t="s">
        <v>269</v>
      </c>
      <c r="K10" s="257" t="s">
        <v>270</v>
      </c>
      <c r="L10" s="257" t="s">
        <v>271</v>
      </c>
      <c r="M10" s="257" t="s">
        <v>789</v>
      </c>
      <c r="N10" s="206" t="s">
        <v>790</v>
      </c>
      <c r="O10" s="206" t="s">
        <v>791</v>
      </c>
      <c r="P10" s="206" t="s">
        <v>792</v>
      </c>
    </row>
    <row r="11" spans="1:21" s="194" customFormat="1" ht="12.75" customHeight="1" x14ac:dyDescent="0.2">
      <c r="A11" s="197">
        <v>1</v>
      </c>
      <c r="B11" s="197">
        <v>2</v>
      </c>
      <c r="C11" s="197">
        <v>3</v>
      </c>
      <c r="D11" s="197">
        <v>4</v>
      </c>
      <c r="E11" s="197">
        <v>5</v>
      </c>
      <c r="F11" s="197">
        <v>6</v>
      </c>
      <c r="G11" s="197">
        <v>7</v>
      </c>
      <c r="H11" s="197">
        <v>8</v>
      </c>
      <c r="I11" s="197">
        <v>9</v>
      </c>
      <c r="J11" s="197">
        <v>10</v>
      </c>
      <c r="K11" s="197">
        <v>11</v>
      </c>
      <c r="L11" s="197">
        <v>12</v>
      </c>
      <c r="M11" s="197">
        <v>13</v>
      </c>
      <c r="N11" s="197">
        <v>14</v>
      </c>
      <c r="O11" s="197">
        <v>15</v>
      </c>
      <c r="P11" s="197">
        <v>16</v>
      </c>
    </row>
    <row r="12" spans="1:21" x14ac:dyDescent="0.2">
      <c r="A12" s="140">
        <v>1</v>
      </c>
      <c r="B12" s="9" t="s">
        <v>1072</v>
      </c>
      <c r="C12" s="9">
        <v>1727</v>
      </c>
      <c r="D12" s="9">
        <v>1727</v>
      </c>
      <c r="E12" s="9">
        <v>1727</v>
      </c>
      <c r="F12" s="9">
        <v>1727</v>
      </c>
      <c r="G12" s="9">
        <v>1727</v>
      </c>
      <c r="H12" s="9">
        <v>1727</v>
      </c>
      <c r="I12" s="9">
        <v>1727</v>
      </c>
      <c r="J12" s="9">
        <v>1727</v>
      </c>
      <c r="K12" s="9">
        <v>1727</v>
      </c>
      <c r="L12" s="9">
        <v>1727</v>
      </c>
      <c r="M12" s="9">
        <v>1727</v>
      </c>
      <c r="N12" s="9">
        <v>1727</v>
      </c>
      <c r="O12" s="9">
        <v>1727</v>
      </c>
      <c r="P12" s="9">
        <v>1727</v>
      </c>
    </row>
    <row r="13" spans="1:21" x14ac:dyDescent="0.2">
      <c r="A13" s="140">
        <v>2</v>
      </c>
      <c r="B13" s="9" t="s">
        <v>1073</v>
      </c>
      <c r="C13" s="9">
        <v>1789</v>
      </c>
      <c r="D13" s="9">
        <v>1789</v>
      </c>
      <c r="E13" s="9">
        <v>1789</v>
      </c>
      <c r="F13" s="9">
        <v>1789</v>
      </c>
      <c r="G13" s="9">
        <v>1789</v>
      </c>
      <c r="H13" s="9">
        <v>1789</v>
      </c>
      <c r="I13" s="9">
        <v>1789</v>
      </c>
      <c r="J13" s="9">
        <v>1789</v>
      </c>
      <c r="K13" s="9">
        <v>1789</v>
      </c>
      <c r="L13" s="9">
        <v>1789</v>
      </c>
      <c r="M13" s="9">
        <v>1789</v>
      </c>
      <c r="N13" s="9">
        <v>1789</v>
      </c>
      <c r="O13" s="9">
        <v>1789</v>
      </c>
      <c r="P13" s="9">
        <v>1789</v>
      </c>
    </row>
    <row r="14" spans="1:21" x14ac:dyDescent="0.2">
      <c r="A14" s="140">
        <v>3</v>
      </c>
      <c r="B14" s="9" t="s">
        <v>1074</v>
      </c>
      <c r="C14" s="9">
        <v>2092</v>
      </c>
      <c r="D14" s="9">
        <v>2092</v>
      </c>
      <c r="E14" s="9">
        <v>2091</v>
      </c>
      <c r="F14" s="9">
        <v>2091</v>
      </c>
      <c r="G14" s="9">
        <v>2091</v>
      </c>
      <c r="H14" s="9">
        <v>2091</v>
      </c>
      <c r="I14" s="9">
        <v>2091</v>
      </c>
      <c r="J14" s="9">
        <v>2091</v>
      </c>
      <c r="K14" s="9">
        <v>2091</v>
      </c>
      <c r="L14" s="9">
        <v>2091</v>
      </c>
      <c r="M14" s="9">
        <v>2091</v>
      </c>
      <c r="N14" s="9">
        <v>2091</v>
      </c>
      <c r="O14" s="9">
        <v>2091</v>
      </c>
      <c r="P14" s="9">
        <v>2091</v>
      </c>
    </row>
    <row r="15" spans="1:21" s="135" customFormat="1" ht="12.75" customHeight="1" x14ac:dyDescent="0.2">
      <c r="A15" s="140">
        <v>4</v>
      </c>
      <c r="B15" s="9" t="s">
        <v>1075</v>
      </c>
      <c r="C15" s="9">
        <v>1831</v>
      </c>
      <c r="D15" s="9">
        <v>1831</v>
      </c>
      <c r="E15" s="9">
        <v>1831</v>
      </c>
      <c r="F15" s="9">
        <v>1831</v>
      </c>
      <c r="G15" s="9">
        <v>1831</v>
      </c>
      <c r="H15" s="9">
        <v>1831</v>
      </c>
      <c r="I15" s="9">
        <v>1831</v>
      </c>
      <c r="J15" s="9">
        <v>1831</v>
      </c>
      <c r="K15" s="9">
        <v>1831</v>
      </c>
      <c r="L15" s="9">
        <v>1831</v>
      </c>
      <c r="M15" s="9">
        <v>1831</v>
      </c>
      <c r="N15" s="9">
        <v>1831</v>
      </c>
      <c r="O15" s="9">
        <v>1831</v>
      </c>
      <c r="P15" s="9">
        <v>1831</v>
      </c>
    </row>
    <row r="16" spans="1:21" s="135" customFormat="1" ht="12.75" customHeight="1" x14ac:dyDescent="0.2">
      <c r="A16" s="140">
        <v>5</v>
      </c>
      <c r="B16" s="9" t="s">
        <v>1076</v>
      </c>
      <c r="C16" s="9">
        <v>2497</v>
      </c>
      <c r="D16" s="9">
        <v>2497</v>
      </c>
      <c r="E16" s="9">
        <v>2363</v>
      </c>
      <c r="F16" s="9">
        <v>2344</v>
      </c>
      <c r="G16" s="9">
        <v>2293</v>
      </c>
      <c r="H16" s="9">
        <v>2242</v>
      </c>
      <c r="I16" s="9">
        <v>2216</v>
      </c>
      <c r="J16" s="9">
        <v>2148</v>
      </c>
      <c r="K16" s="9">
        <v>1633</v>
      </c>
      <c r="L16" s="9">
        <v>1536</v>
      </c>
      <c r="M16" s="9">
        <v>1521</v>
      </c>
      <c r="N16" s="9">
        <v>1379</v>
      </c>
      <c r="O16" s="9">
        <v>1201</v>
      </c>
      <c r="P16" s="9">
        <v>1070</v>
      </c>
    </row>
    <row r="17" spans="1:16" s="135" customFormat="1" ht="12.75" customHeight="1" x14ac:dyDescent="0.2">
      <c r="A17" s="140">
        <v>6</v>
      </c>
      <c r="B17" s="9" t="s">
        <v>1077</v>
      </c>
      <c r="C17" s="9">
        <v>1955</v>
      </c>
      <c r="D17" s="9">
        <v>1955</v>
      </c>
      <c r="E17" s="9">
        <v>1955</v>
      </c>
      <c r="F17" s="9">
        <v>1955</v>
      </c>
      <c r="G17" s="9">
        <v>1955</v>
      </c>
      <c r="H17" s="9">
        <v>1955</v>
      </c>
      <c r="I17" s="9">
        <v>1955</v>
      </c>
      <c r="J17" s="9">
        <v>1955</v>
      </c>
      <c r="K17" s="9">
        <v>1955</v>
      </c>
      <c r="L17" s="9">
        <v>1955</v>
      </c>
      <c r="M17" s="9">
        <v>1955</v>
      </c>
      <c r="N17" s="9">
        <v>1955</v>
      </c>
      <c r="O17" s="9">
        <v>1955</v>
      </c>
      <c r="P17" s="9">
        <v>1955</v>
      </c>
    </row>
    <row r="18" spans="1:16" s="135" customFormat="1" ht="12.75" customHeight="1" x14ac:dyDescent="0.2">
      <c r="A18" s="140">
        <v>7</v>
      </c>
      <c r="B18" s="9" t="s">
        <v>1078</v>
      </c>
      <c r="C18" s="9">
        <v>1532</v>
      </c>
      <c r="D18" s="9">
        <v>1532</v>
      </c>
      <c r="E18" s="9">
        <v>1532</v>
      </c>
      <c r="F18" s="9">
        <v>1532</v>
      </c>
      <c r="G18" s="9">
        <v>1524</v>
      </c>
      <c r="H18" s="9">
        <v>1524</v>
      </c>
      <c r="I18" s="9">
        <v>1481</v>
      </c>
      <c r="J18" s="9">
        <v>1481</v>
      </c>
      <c r="K18" s="9">
        <v>1481</v>
      </c>
      <c r="L18" s="9">
        <v>1481</v>
      </c>
      <c r="M18" s="9">
        <v>1481</v>
      </c>
      <c r="N18" s="9">
        <v>1481</v>
      </c>
      <c r="O18" s="9">
        <v>1481</v>
      </c>
      <c r="P18" s="9">
        <v>1419</v>
      </c>
    </row>
    <row r="19" spans="1:16" s="135" customFormat="1" ht="12.75" customHeight="1" x14ac:dyDescent="0.2">
      <c r="A19" s="140">
        <v>8</v>
      </c>
      <c r="B19" s="9" t="s">
        <v>1079</v>
      </c>
      <c r="C19" s="9">
        <v>3361</v>
      </c>
      <c r="D19" s="9">
        <v>3361</v>
      </c>
      <c r="E19" s="9">
        <v>3361</v>
      </c>
      <c r="F19" s="9">
        <v>3361</v>
      </c>
      <c r="G19" s="9">
        <v>3361</v>
      </c>
      <c r="H19" s="9">
        <v>3361</v>
      </c>
      <c r="I19" s="9">
        <v>3361</v>
      </c>
      <c r="J19" s="9">
        <v>3361</v>
      </c>
      <c r="K19" s="9">
        <v>3361</v>
      </c>
      <c r="L19" s="9">
        <v>3361</v>
      </c>
      <c r="M19" s="9">
        <v>3361</v>
      </c>
      <c r="N19" s="9">
        <v>3361</v>
      </c>
      <c r="O19" s="9">
        <v>3289</v>
      </c>
      <c r="P19" s="9">
        <v>3165</v>
      </c>
    </row>
    <row r="20" spans="1:16" s="135" customFormat="1" ht="12.75" customHeight="1" x14ac:dyDescent="0.2">
      <c r="A20" s="140">
        <v>9</v>
      </c>
      <c r="B20" s="9" t="s">
        <v>1080</v>
      </c>
      <c r="C20" s="9">
        <v>1725</v>
      </c>
      <c r="D20" s="9">
        <v>1725</v>
      </c>
      <c r="E20" s="9">
        <v>1713</v>
      </c>
      <c r="F20" s="9">
        <v>1713</v>
      </c>
      <c r="G20" s="9">
        <v>1712</v>
      </c>
      <c r="H20" s="9">
        <v>1712</v>
      </c>
      <c r="I20" s="9">
        <v>1712</v>
      </c>
      <c r="J20" s="9">
        <v>1712</v>
      </c>
      <c r="K20" s="9">
        <v>1712</v>
      </c>
      <c r="L20" s="9">
        <v>1712</v>
      </c>
      <c r="M20" s="9">
        <v>1711</v>
      </c>
      <c r="N20" s="9">
        <v>1711</v>
      </c>
      <c r="O20" s="9">
        <v>1711</v>
      </c>
      <c r="P20" s="9">
        <v>1710</v>
      </c>
    </row>
    <row r="21" spans="1:16" s="135" customFormat="1" ht="12.75" customHeight="1" x14ac:dyDescent="0.2">
      <c r="A21" s="140">
        <v>10</v>
      </c>
      <c r="B21" s="9" t="s">
        <v>1081</v>
      </c>
      <c r="C21" s="9">
        <v>1731</v>
      </c>
      <c r="D21" s="9">
        <v>1731</v>
      </c>
      <c r="E21" s="9">
        <v>1728</v>
      </c>
      <c r="F21" s="9">
        <v>1728</v>
      </c>
      <c r="G21" s="9">
        <v>1728</v>
      </c>
      <c r="H21" s="9">
        <v>1728</v>
      </c>
      <c r="I21" s="9">
        <v>1728</v>
      </c>
      <c r="J21" s="9">
        <v>1728</v>
      </c>
      <c r="K21" s="9">
        <v>1728</v>
      </c>
      <c r="L21" s="9">
        <v>1728</v>
      </c>
      <c r="M21" s="9">
        <v>1728</v>
      </c>
      <c r="N21" s="9">
        <v>1728</v>
      </c>
      <c r="O21" s="9">
        <v>1728</v>
      </c>
      <c r="P21" s="9">
        <v>1728</v>
      </c>
    </row>
    <row r="22" spans="1:16" s="135" customFormat="1" ht="12.75" customHeight="1" x14ac:dyDescent="0.2">
      <c r="A22" s="140">
        <v>11</v>
      </c>
      <c r="B22" s="9" t="s">
        <v>1082</v>
      </c>
      <c r="C22" s="9">
        <v>1588</v>
      </c>
      <c r="D22" s="9">
        <v>1574</v>
      </c>
      <c r="E22" s="9">
        <v>1554</v>
      </c>
      <c r="F22" s="9">
        <v>1554</v>
      </c>
      <c r="G22" s="9">
        <v>1549</v>
      </c>
      <c r="H22" s="9">
        <v>1546</v>
      </c>
      <c r="I22" s="9">
        <v>1545</v>
      </c>
      <c r="J22" s="9">
        <v>1545</v>
      </c>
      <c r="K22" s="9">
        <v>1513</v>
      </c>
      <c r="L22" s="9">
        <v>1512</v>
      </c>
      <c r="M22" s="9">
        <v>1512</v>
      </c>
      <c r="N22" s="9">
        <v>1512</v>
      </c>
      <c r="O22" s="9">
        <v>1512</v>
      </c>
      <c r="P22" s="9">
        <v>1512</v>
      </c>
    </row>
    <row r="23" spans="1:16" s="135" customFormat="1" ht="12.75" customHeight="1" x14ac:dyDescent="0.2">
      <c r="A23" s="140">
        <v>12</v>
      </c>
      <c r="B23" s="9" t="s">
        <v>1083</v>
      </c>
      <c r="C23" s="9">
        <v>1110</v>
      </c>
      <c r="D23" s="9">
        <v>1110</v>
      </c>
      <c r="E23" s="9">
        <v>1110</v>
      </c>
      <c r="F23" s="9">
        <v>1110</v>
      </c>
      <c r="G23" s="9">
        <v>1110</v>
      </c>
      <c r="H23" s="9">
        <v>1110</v>
      </c>
      <c r="I23" s="9">
        <v>1110</v>
      </c>
      <c r="J23" s="9">
        <v>1110</v>
      </c>
      <c r="K23" s="9">
        <v>1110</v>
      </c>
      <c r="L23" s="9">
        <v>1110</v>
      </c>
      <c r="M23" s="9">
        <v>1110</v>
      </c>
      <c r="N23" s="9">
        <v>1110</v>
      </c>
      <c r="O23" s="9">
        <v>1110</v>
      </c>
      <c r="P23" s="9">
        <v>1110</v>
      </c>
    </row>
    <row r="24" spans="1:16" s="135" customFormat="1" ht="12.75" customHeight="1" x14ac:dyDescent="0.2">
      <c r="A24" s="140">
        <v>13</v>
      </c>
      <c r="B24" s="9" t="s">
        <v>1084</v>
      </c>
      <c r="C24" s="9">
        <v>996</v>
      </c>
      <c r="D24" s="9">
        <v>995</v>
      </c>
      <c r="E24" s="9">
        <v>992</v>
      </c>
      <c r="F24" s="9">
        <v>992</v>
      </c>
      <c r="G24" s="9">
        <v>992</v>
      </c>
      <c r="H24" s="9">
        <v>992</v>
      </c>
      <c r="I24" s="9">
        <v>992</v>
      </c>
      <c r="J24" s="9">
        <v>992</v>
      </c>
      <c r="K24" s="9">
        <v>992</v>
      </c>
      <c r="L24" s="9">
        <v>992</v>
      </c>
      <c r="M24" s="9">
        <v>992</v>
      </c>
      <c r="N24" s="9">
        <v>992</v>
      </c>
      <c r="O24" s="9">
        <v>992</v>
      </c>
      <c r="P24" s="9">
        <v>992</v>
      </c>
    </row>
    <row r="25" spans="1:16" s="135" customFormat="1" ht="12.75" customHeight="1" x14ac:dyDescent="0.2">
      <c r="A25" s="140">
        <v>14</v>
      </c>
      <c r="B25" s="9" t="s">
        <v>1085</v>
      </c>
      <c r="C25" s="9">
        <v>718</v>
      </c>
      <c r="D25" s="9">
        <v>710</v>
      </c>
      <c r="E25" s="9">
        <v>706</v>
      </c>
      <c r="F25" s="9">
        <v>700</v>
      </c>
      <c r="G25" s="9">
        <v>693</v>
      </c>
      <c r="H25" s="9">
        <v>692</v>
      </c>
      <c r="I25" s="9">
        <v>691</v>
      </c>
      <c r="J25" s="9">
        <v>686</v>
      </c>
      <c r="K25" s="9">
        <v>686</v>
      </c>
      <c r="L25" s="9">
        <v>681</v>
      </c>
      <c r="M25" s="9">
        <v>677</v>
      </c>
      <c r="N25" s="9">
        <v>674</v>
      </c>
      <c r="O25" s="9">
        <v>670</v>
      </c>
      <c r="P25" s="9">
        <v>629</v>
      </c>
    </row>
    <row r="26" spans="1:16" s="135" customFormat="1" ht="12.75" customHeight="1" x14ac:dyDescent="0.2">
      <c r="A26" s="140">
        <v>15</v>
      </c>
      <c r="B26" s="9" t="s">
        <v>1086</v>
      </c>
      <c r="C26" s="9">
        <v>1167</v>
      </c>
      <c r="D26" s="9">
        <v>1167</v>
      </c>
      <c r="E26" s="9">
        <v>1166</v>
      </c>
      <c r="F26" s="9">
        <v>1166</v>
      </c>
      <c r="G26" s="9">
        <v>1166</v>
      </c>
      <c r="H26" s="9">
        <v>1166</v>
      </c>
      <c r="I26" s="9">
        <v>1166</v>
      </c>
      <c r="J26" s="9">
        <v>1166</v>
      </c>
      <c r="K26" s="9">
        <v>1166</v>
      </c>
      <c r="L26" s="9">
        <v>1166</v>
      </c>
      <c r="M26" s="9">
        <v>1166</v>
      </c>
      <c r="N26" s="9">
        <v>1153</v>
      </c>
      <c r="O26" s="9">
        <v>1153</v>
      </c>
      <c r="P26" s="9">
        <v>1153</v>
      </c>
    </row>
    <row r="27" spans="1:16" s="135" customFormat="1" ht="12.75" customHeight="1" x14ac:dyDescent="0.2">
      <c r="A27" s="140">
        <v>16</v>
      </c>
      <c r="B27" s="9" t="s">
        <v>1087</v>
      </c>
      <c r="C27" s="9">
        <v>586</v>
      </c>
      <c r="D27" s="9">
        <v>586</v>
      </c>
      <c r="E27" s="9">
        <v>586</v>
      </c>
      <c r="F27" s="9">
        <v>586</v>
      </c>
      <c r="G27" s="9">
        <v>586</v>
      </c>
      <c r="H27" s="9">
        <v>586</v>
      </c>
      <c r="I27" s="9">
        <v>586</v>
      </c>
      <c r="J27" s="9">
        <v>586</v>
      </c>
      <c r="K27" s="9">
        <v>586</v>
      </c>
      <c r="L27" s="9">
        <v>586</v>
      </c>
      <c r="M27" s="9">
        <v>586</v>
      </c>
      <c r="N27" s="9">
        <v>586</v>
      </c>
      <c r="O27" s="9">
        <v>586</v>
      </c>
      <c r="P27" s="9">
        <v>586</v>
      </c>
    </row>
    <row r="28" spans="1:16" s="135" customFormat="1" ht="13.15" customHeight="1" x14ac:dyDescent="0.2">
      <c r="A28" s="140">
        <v>17</v>
      </c>
      <c r="B28" s="9" t="s">
        <v>1088</v>
      </c>
      <c r="C28" s="9">
        <v>1061</v>
      </c>
      <c r="D28" s="9">
        <v>1061</v>
      </c>
      <c r="E28" s="9">
        <v>1061</v>
      </c>
      <c r="F28" s="9">
        <v>1061</v>
      </c>
      <c r="G28" s="9">
        <v>1061</v>
      </c>
      <c r="H28" s="9">
        <v>1061</v>
      </c>
      <c r="I28" s="9">
        <v>1061</v>
      </c>
      <c r="J28" s="9">
        <v>1061</v>
      </c>
      <c r="K28" s="9">
        <v>1061</v>
      </c>
      <c r="L28" s="9">
        <v>1061</v>
      </c>
      <c r="M28" s="9">
        <v>1061</v>
      </c>
      <c r="N28" s="9">
        <v>1061</v>
      </c>
      <c r="O28" s="9">
        <v>1061</v>
      </c>
      <c r="P28" s="9">
        <v>1061</v>
      </c>
    </row>
    <row r="29" spans="1:16" ht="12.75" customHeight="1" x14ac:dyDescent="0.2">
      <c r="A29" s="140">
        <v>18</v>
      </c>
      <c r="B29" s="9" t="s">
        <v>1089</v>
      </c>
      <c r="C29" s="9">
        <v>2545</v>
      </c>
      <c r="D29" s="9">
        <v>2545</v>
      </c>
      <c r="E29" s="9">
        <v>2545</v>
      </c>
      <c r="F29" s="9">
        <v>2545</v>
      </c>
      <c r="G29" s="9">
        <v>2545</v>
      </c>
      <c r="H29" s="9">
        <v>2545</v>
      </c>
      <c r="I29" s="9">
        <v>2545</v>
      </c>
      <c r="J29" s="9">
        <v>2545</v>
      </c>
      <c r="K29" s="9">
        <v>2545</v>
      </c>
      <c r="L29" s="9">
        <v>2545</v>
      </c>
      <c r="M29" s="9">
        <v>2545</v>
      </c>
      <c r="N29" s="9">
        <v>2545</v>
      </c>
      <c r="O29" s="9">
        <v>2545</v>
      </c>
      <c r="P29" s="9">
        <v>2545</v>
      </c>
    </row>
    <row r="30" spans="1:16" x14ac:dyDescent="0.2">
      <c r="A30" s="140">
        <v>19</v>
      </c>
      <c r="B30" s="9" t="s">
        <v>1090</v>
      </c>
      <c r="C30" s="9">
        <v>690</v>
      </c>
      <c r="D30" s="9">
        <v>689</v>
      </c>
      <c r="E30" s="9">
        <v>688</v>
      </c>
      <c r="F30" s="9">
        <v>688</v>
      </c>
      <c r="G30" s="9">
        <v>688</v>
      </c>
      <c r="H30" s="9">
        <v>688</v>
      </c>
      <c r="I30" s="9">
        <v>688</v>
      </c>
      <c r="J30" s="9">
        <v>688</v>
      </c>
      <c r="K30" s="9">
        <v>688</v>
      </c>
      <c r="L30" s="9">
        <v>688</v>
      </c>
      <c r="M30" s="9">
        <v>688</v>
      </c>
      <c r="N30" s="9">
        <v>688</v>
      </c>
      <c r="O30" s="9">
        <v>688</v>
      </c>
      <c r="P30" s="9">
        <v>688</v>
      </c>
    </row>
    <row r="31" spans="1:16" x14ac:dyDescent="0.2">
      <c r="A31" s="140">
        <v>20</v>
      </c>
      <c r="B31" s="9" t="s">
        <v>1091</v>
      </c>
      <c r="C31" s="9">
        <v>2473</v>
      </c>
      <c r="D31" s="9">
        <v>2472</v>
      </c>
      <c r="E31" s="9">
        <v>2472</v>
      </c>
      <c r="F31" s="9">
        <v>2472</v>
      </c>
      <c r="G31" s="9">
        <v>2472</v>
      </c>
      <c r="H31" s="9">
        <v>2472</v>
      </c>
      <c r="I31" s="9">
        <v>2472</v>
      </c>
      <c r="J31" s="9">
        <v>2472</v>
      </c>
      <c r="K31" s="9">
        <v>2472</v>
      </c>
      <c r="L31" s="9">
        <v>2472</v>
      </c>
      <c r="M31" s="9">
        <v>2472</v>
      </c>
      <c r="N31" s="9">
        <v>2472</v>
      </c>
      <c r="O31" s="9">
        <v>2472</v>
      </c>
      <c r="P31" s="9">
        <v>2472</v>
      </c>
    </row>
    <row r="32" spans="1:16" x14ac:dyDescent="0.2">
      <c r="A32" s="140">
        <v>21</v>
      </c>
      <c r="B32" s="9" t="s">
        <v>1092</v>
      </c>
      <c r="C32" s="9">
        <v>1280</v>
      </c>
      <c r="D32" s="9">
        <v>1280</v>
      </c>
      <c r="E32" s="9">
        <v>1213</v>
      </c>
      <c r="F32" s="9">
        <v>1212</v>
      </c>
      <c r="G32" s="9">
        <v>1210</v>
      </c>
      <c r="H32" s="9">
        <v>1209</v>
      </c>
      <c r="I32" s="9">
        <v>1209</v>
      </c>
      <c r="J32" s="9">
        <v>1208</v>
      </c>
      <c r="K32" s="9">
        <v>1205</v>
      </c>
      <c r="L32" s="9">
        <v>1205</v>
      </c>
      <c r="M32" s="9">
        <v>1205</v>
      </c>
      <c r="N32" s="9">
        <v>1202</v>
      </c>
      <c r="O32" s="9">
        <v>1200</v>
      </c>
      <c r="P32" s="9">
        <v>1198</v>
      </c>
    </row>
    <row r="33" spans="1:16" x14ac:dyDescent="0.2">
      <c r="A33" s="140">
        <v>22</v>
      </c>
      <c r="B33" s="9" t="s">
        <v>1093</v>
      </c>
      <c r="C33" s="9">
        <v>1542</v>
      </c>
      <c r="D33" s="9">
        <v>1524</v>
      </c>
      <c r="E33" s="9">
        <v>1514</v>
      </c>
      <c r="F33" s="9">
        <v>1514</v>
      </c>
      <c r="G33" s="9">
        <v>1512</v>
      </c>
      <c r="H33" s="9">
        <v>1511</v>
      </c>
      <c r="I33" s="9">
        <v>1511</v>
      </c>
      <c r="J33" s="9">
        <v>1511</v>
      </c>
      <c r="K33" s="9">
        <v>1508</v>
      </c>
      <c r="L33" s="9">
        <v>1487</v>
      </c>
      <c r="M33" s="9">
        <v>1483</v>
      </c>
      <c r="N33" s="9">
        <v>1481</v>
      </c>
      <c r="O33" s="9">
        <v>1480</v>
      </c>
      <c r="P33" s="9">
        <v>1471</v>
      </c>
    </row>
    <row r="34" spans="1:16" x14ac:dyDescent="0.2">
      <c r="A34" s="140">
        <v>23</v>
      </c>
      <c r="B34" s="9" t="s">
        <v>1094</v>
      </c>
      <c r="C34" s="9">
        <v>971</v>
      </c>
      <c r="D34" s="9">
        <v>965</v>
      </c>
      <c r="E34" s="9">
        <v>960</v>
      </c>
      <c r="F34" s="9">
        <v>960</v>
      </c>
      <c r="G34" s="9">
        <v>960</v>
      </c>
      <c r="H34" s="9">
        <v>960</v>
      </c>
      <c r="I34" s="9">
        <v>959</v>
      </c>
      <c r="J34" s="9">
        <v>959</v>
      </c>
      <c r="K34" s="9">
        <v>959</v>
      </c>
      <c r="L34" s="9">
        <v>959</v>
      </c>
      <c r="M34" s="9">
        <v>959</v>
      </c>
      <c r="N34" s="9">
        <v>959</v>
      </c>
      <c r="O34" s="9">
        <v>959</v>
      </c>
      <c r="P34" s="9">
        <v>959</v>
      </c>
    </row>
    <row r="35" spans="1:16" x14ac:dyDescent="0.2">
      <c r="A35" s="140">
        <v>24</v>
      </c>
      <c r="B35" s="9" t="s">
        <v>1095</v>
      </c>
      <c r="C35" s="9">
        <v>2251</v>
      </c>
      <c r="D35" s="9">
        <v>2234</v>
      </c>
      <c r="E35" s="9">
        <v>2175</v>
      </c>
      <c r="F35" s="9">
        <v>2154</v>
      </c>
      <c r="G35" s="9">
        <v>2142</v>
      </c>
      <c r="H35" s="9">
        <v>2136</v>
      </c>
      <c r="I35" s="9">
        <v>2128</v>
      </c>
      <c r="J35" s="9">
        <v>2121</v>
      </c>
      <c r="K35" s="9">
        <v>2110</v>
      </c>
      <c r="L35" s="9">
        <v>2106</v>
      </c>
      <c r="M35" s="9">
        <v>2104</v>
      </c>
      <c r="N35" s="9">
        <v>2099</v>
      </c>
      <c r="O35" s="9">
        <v>2099</v>
      </c>
      <c r="P35" s="9">
        <v>2098</v>
      </c>
    </row>
    <row r="36" spans="1:16" x14ac:dyDescent="0.2">
      <c r="A36" s="995" t="s">
        <v>15</v>
      </c>
      <c r="B36" s="996"/>
      <c r="C36" s="138">
        <f>SUM(C12:C35)</f>
        <v>39218</v>
      </c>
      <c r="D36" s="138">
        <f t="shared" ref="D36:P36" si="0">SUM(D12:D35)</f>
        <v>39152</v>
      </c>
      <c r="E36" s="138">
        <f t="shared" si="0"/>
        <v>38832</v>
      </c>
      <c r="F36" s="138">
        <f t="shared" si="0"/>
        <v>38785</v>
      </c>
      <c r="G36" s="138">
        <f t="shared" si="0"/>
        <v>38697</v>
      </c>
      <c r="H36" s="138">
        <f t="shared" si="0"/>
        <v>38634</v>
      </c>
      <c r="I36" s="138">
        <f t="shared" si="0"/>
        <v>38554</v>
      </c>
      <c r="J36" s="138">
        <f t="shared" si="0"/>
        <v>38473</v>
      </c>
      <c r="K36" s="138">
        <f t="shared" si="0"/>
        <v>37909</v>
      </c>
      <c r="L36" s="138">
        <f t="shared" si="0"/>
        <v>37781</v>
      </c>
      <c r="M36" s="138">
        <f t="shared" si="0"/>
        <v>37755</v>
      </c>
      <c r="N36" s="138">
        <f t="shared" si="0"/>
        <v>37587</v>
      </c>
      <c r="O36" s="138">
        <f t="shared" si="0"/>
        <v>37330</v>
      </c>
      <c r="P36" s="138">
        <f t="shared" si="0"/>
        <v>36959</v>
      </c>
    </row>
    <row r="39" spans="1:16" x14ac:dyDescent="0.2">
      <c r="A39" s="669"/>
      <c r="B39" s="669"/>
      <c r="C39" s="669"/>
      <c r="D39" s="669"/>
      <c r="E39" s="669"/>
      <c r="F39" s="669"/>
      <c r="G39" s="669"/>
      <c r="H39" s="865" t="s">
        <v>1107</v>
      </c>
      <c r="I39" s="865"/>
      <c r="J39" s="865"/>
      <c r="K39" s="865"/>
      <c r="L39" s="865"/>
      <c r="M39" s="865"/>
      <c r="N39" s="669"/>
      <c r="O39" s="669"/>
    </row>
    <row r="40" spans="1:16" x14ac:dyDescent="0.2">
      <c r="A40" s="669"/>
      <c r="B40" s="669"/>
      <c r="C40" s="669"/>
      <c r="D40" s="669"/>
      <c r="E40" s="669"/>
      <c r="F40" s="669"/>
      <c r="G40" s="669"/>
      <c r="H40" s="865" t="s">
        <v>1108</v>
      </c>
      <c r="I40" s="865"/>
      <c r="J40" s="865"/>
      <c r="K40" s="865"/>
      <c r="L40" s="865"/>
      <c r="M40" s="865"/>
      <c r="N40" s="669"/>
      <c r="O40" s="669"/>
    </row>
    <row r="41" spans="1:16" x14ac:dyDescent="0.2">
      <c r="A41" s="669"/>
      <c r="B41" s="669"/>
      <c r="C41" s="669"/>
      <c r="D41" s="669"/>
      <c r="E41" s="669"/>
      <c r="F41" s="669"/>
      <c r="G41" s="669"/>
      <c r="H41" s="865" t="s">
        <v>1113</v>
      </c>
      <c r="I41" s="865"/>
      <c r="J41" s="865"/>
      <c r="K41" s="865"/>
      <c r="L41" s="865"/>
      <c r="M41" s="865"/>
      <c r="N41" s="567"/>
      <c r="O41" s="567"/>
    </row>
    <row r="42" spans="1:16" x14ac:dyDescent="0.2">
      <c r="A42" s="186" t="s">
        <v>11</v>
      </c>
      <c r="B42" s="669"/>
      <c r="C42" s="669"/>
      <c r="D42" s="669"/>
      <c r="E42" s="669"/>
      <c r="F42" s="669"/>
      <c r="G42" s="669"/>
      <c r="H42" s="866" t="s">
        <v>1110</v>
      </c>
      <c r="I42" s="866"/>
      <c r="J42" s="866"/>
      <c r="K42" s="866"/>
      <c r="L42" s="669"/>
      <c r="M42" s="669"/>
      <c r="N42" s="567"/>
      <c r="O42" s="567"/>
    </row>
  </sheetData>
  <mergeCells count="15">
    <mergeCell ref="K8:P8"/>
    <mergeCell ref="E9:P9"/>
    <mergeCell ref="A36:B36"/>
    <mergeCell ref="H1:I1"/>
    <mergeCell ref="A3:M3"/>
    <mergeCell ref="A4:M4"/>
    <mergeCell ref="A9:A10"/>
    <mergeCell ref="B9:B10"/>
    <mergeCell ref="D2:G2"/>
    <mergeCell ref="H39:M39"/>
    <mergeCell ref="H40:M40"/>
    <mergeCell ref="C9:C10"/>
    <mergeCell ref="D9:D10"/>
    <mergeCell ref="H41:M41"/>
    <mergeCell ref="H42:K42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view="pageBreakPreview" topLeftCell="A22" zoomScale="90" zoomScaleNormal="100" zoomScaleSheetLayoutView="90" workbookViewId="0">
      <selection activeCell="Q40" sqref="Q40"/>
    </sheetView>
  </sheetViews>
  <sheetFormatPr defaultRowHeight="12.75" x14ac:dyDescent="0.2"/>
  <cols>
    <col min="1" max="1" width="8.5703125" style="186" customWidth="1"/>
    <col min="2" max="2" width="22.7109375" style="186" customWidth="1"/>
    <col min="3" max="3" width="11.140625" style="186" customWidth="1"/>
    <col min="4" max="4" width="15.5703125" style="186" customWidth="1"/>
    <col min="5" max="16" width="10.28515625" style="186" customWidth="1"/>
    <col min="17" max="16384" width="9.140625" style="186"/>
  </cols>
  <sheetData>
    <row r="1" spans="1:16" x14ac:dyDescent="0.2">
      <c r="H1" s="866"/>
      <c r="I1" s="866"/>
      <c r="L1" s="1053" t="s">
        <v>541</v>
      </c>
      <c r="M1" s="1053"/>
    </row>
    <row r="2" spans="1:16" x14ac:dyDescent="0.2">
      <c r="C2" s="866" t="s">
        <v>628</v>
      </c>
      <c r="D2" s="866"/>
      <c r="E2" s="866"/>
      <c r="F2" s="866"/>
      <c r="G2" s="866"/>
      <c r="H2" s="866"/>
      <c r="I2" s="866"/>
      <c r="J2" s="866"/>
      <c r="L2" s="189"/>
    </row>
    <row r="3" spans="1:16" s="190" customFormat="1" ht="15.75" x14ac:dyDescent="0.25">
      <c r="A3" s="1051" t="s">
        <v>697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</row>
    <row r="4" spans="1:16" s="190" customFormat="1" ht="20.25" customHeight="1" x14ac:dyDescent="0.25">
      <c r="A4" s="1051" t="s">
        <v>764</v>
      </c>
      <c r="B4" s="1051"/>
      <c r="C4" s="1051"/>
      <c r="D4" s="1051"/>
      <c r="E4" s="1051"/>
      <c r="F4" s="1051"/>
      <c r="G4" s="1051"/>
      <c r="H4" s="1051"/>
      <c r="I4" s="1051"/>
      <c r="J4" s="1051"/>
      <c r="K4" s="1051"/>
      <c r="L4" s="1051"/>
      <c r="M4" s="1051"/>
    </row>
    <row r="6" spans="1:16" x14ac:dyDescent="0.2">
      <c r="A6" s="191" t="s">
        <v>1098</v>
      </c>
      <c r="B6" s="191"/>
      <c r="C6" s="193"/>
      <c r="D6" s="193"/>
      <c r="E6" s="193"/>
      <c r="F6" s="193"/>
      <c r="G6" s="193"/>
      <c r="H6" s="193"/>
      <c r="I6" s="193"/>
      <c r="J6" s="193"/>
    </row>
    <row r="7" spans="1:16" x14ac:dyDescent="0.2">
      <c r="A7" s="191"/>
      <c r="B7" s="193"/>
      <c r="C7" s="193"/>
      <c r="D7" s="193"/>
      <c r="E7" s="193"/>
      <c r="F7" s="193"/>
      <c r="G7" s="193"/>
      <c r="H7" s="193"/>
      <c r="I7" s="193"/>
      <c r="J7" s="193"/>
    </row>
    <row r="8" spans="1:16" x14ac:dyDescent="0.2">
      <c r="A8" s="191"/>
      <c r="B8" s="193"/>
      <c r="C8" s="193"/>
      <c r="D8" s="193"/>
      <c r="E8" s="193"/>
      <c r="F8" s="193"/>
      <c r="G8" s="193"/>
      <c r="H8" s="193"/>
      <c r="I8" s="193"/>
      <c r="J8" s="193"/>
    </row>
    <row r="9" spans="1:16" x14ac:dyDescent="0.2">
      <c r="A9" s="1054" t="s">
        <v>851</v>
      </c>
      <c r="B9" s="1054"/>
      <c r="C9" s="1054"/>
      <c r="D9" s="1054"/>
      <c r="E9" s="1054"/>
      <c r="F9" s="1054"/>
      <c r="G9" s="198" t="s">
        <v>981</v>
      </c>
      <c r="H9" s="193"/>
      <c r="I9" s="193"/>
      <c r="J9" s="193"/>
    </row>
    <row r="10" spans="1:16" x14ac:dyDescent="0.2">
      <c r="A10" s="1054" t="s">
        <v>852</v>
      </c>
      <c r="B10" s="1054"/>
      <c r="C10" s="1054"/>
      <c r="D10" s="1054"/>
      <c r="E10" s="1054"/>
      <c r="F10" s="1054"/>
      <c r="G10" s="198" t="s">
        <v>982</v>
      </c>
      <c r="H10" s="193"/>
      <c r="I10" s="193"/>
      <c r="J10" s="193"/>
    </row>
    <row r="12" spans="1:16" s="194" customFormat="1" ht="15" customHeight="1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872" t="s">
        <v>772</v>
      </c>
      <c r="L12" s="872"/>
      <c r="M12" s="872"/>
      <c r="N12" s="872"/>
      <c r="O12" s="872"/>
      <c r="P12" s="872"/>
    </row>
    <row r="13" spans="1:16" s="194" customFormat="1" ht="20.25" customHeight="1" x14ac:dyDescent="0.2">
      <c r="A13" s="959" t="s">
        <v>1</v>
      </c>
      <c r="B13" s="959" t="s">
        <v>2</v>
      </c>
      <c r="C13" s="968" t="s">
        <v>262</v>
      </c>
      <c r="D13" s="968" t="s">
        <v>540</v>
      </c>
      <c r="E13" s="904" t="s">
        <v>653</v>
      </c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</row>
    <row r="14" spans="1:16" s="194" customFormat="1" ht="35.25" customHeight="1" x14ac:dyDescent="0.2">
      <c r="A14" s="1052"/>
      <c r="B14" s="1052"/>
      <c r="C14" s="969"/>
      <c r="D14" s="969"/>
      <c r="E14" s="257" t="s">
        <v>788</v>
      </c>
      <c r="F14" s="257" t="s">
        <v>265</v>
      </c>
      <c r="G14" s="257" t="s">
        <v>266</v>
      </c>
      <c r="H14" s="257" t="s">
        <v>267</v>
      </c>
      <c r="I14" s="257" t="s">
        <v>268</v>
      </c>
      <c r="J14" s="257" t="s">
        <v>269</v>
      </c>
      <c r="K14" s="257" t="s">
        <v>270</v>
      </c>
      <c r="L14" s="257" t="s">
        <v>271</v>
      </c>
      <c r="M14" s="257" t="s">
        <v>789</v>
      </c>
      <c r="N14" s="206" t="s">
        <v>790</v>
      </c>
      <c r="O14" s="206" t="s">
        <v>843</v>
      </c>
      <c r="P14" s="206" t="s">
        <v>844</v>
      </c>
    </row>
    <row r="15" spans="1:16" s="194" customFormat="1" ht="12.75" customHeight="1" x14ac:dyDescent="0.2">
      <c r="A15" s="197">
        <v>1</v>
      </c>
      <c r="B15" s="197">
        <v>2</v>
      </c>
      <c r="C15" s="197">
        <v>3</v>
      </c>
      <c r="D15" s="197">
        <v>4</v>
      </c>
      <c r="E15" s="197">
        <v>5</v>
      </c>
      <c r="F15" s="197">
        <v>6</v>
      </c>
      <c r="G15" s="197">
        <v>7</v>
      </c>
      <c r="H15" s="197">
        <v>8</v>
      </c>
      <c r="I15" s="197">
        <v>9</v>
      </c>
      <c r="J15" s="197">
        <v>10</v>
      </c>
      <c r="K15" s="197">
        <v>11</v>
      </c>
      <c r="L15" s="197">
        <v>12</v>
      </c>
      <c r="M15" s="197">
        <v>13</v>
      </c>
      <c r="N15" s="197">
        <v>14</v>
      </c>
      <c r="O15" s="197">
        <v>15</v>
      </c>
      <c r="P15" s="197">
        <v>16</v>
      </c>
    </row>
    <row r="16" spans="1:16" ht="15" x14ac:dyDescent="0.2">
      <c r="A16" s="140">
        <v>1</v>
      </c>
      <c r="B16" s="561" t="s">
        <v>1072</v>
      </c>
      <c r="C16" s="562">
        <v>1727</v>
      </c>
      <c r="D16" s="563">
        <f>(E16+F16+G16+H16+I16+J16+K16+L16+O16+P16+M16+N16)/12</f>
        <v>1390.3333333333333</v>
      </c>
      <c r="E16" s="562">
        <v>1660</v>
      </c>
      <c r="F16" s="564">
        <v>1393</v>
      </c>
      <c r="G16" s="562">
        <v>1320</v>
      </c>
      <c r="H16" s="562">
        <v>1432</v>
      </c>
      <c r="I16" s="562">
        <v>1437</v>
      </c>
      <c r="J16" s="562">
        <v>1497</v>
      </c>
      <c r="K16" s="562">
        <v>1500</v>
      </c>
      <c r="L16" s="562">
        <v>1464</v>
      </c>
      <c r="M16" s="562">
        <v>856</v>
      </c>
      <c r="N16" s="562">
        <v>1403</v>
      </c>
      <c r="O16" s="562">
        <v>1260</v>
      </c>
      <c r="P16" s="562">
        <v>1462</v>
      </c>
    </row>
    <row r="17" spans="1:16" ht="15" x14ac:dyDescent="0.2">
      <c r="A17" s="140">
        <v>2</v>
      </c>
      <c r="B17" s="561" t="s">
        <v>1073</v>
      </c>
      <c r="C17" s="562">
        <v>1793</v>
      </c>
      <c r="D17" s="563">
        <f t="shared" ref="D17:D39" si="0">(E17+F17+G17+H17+I17+J17+K17+L17+O17+P17+M17+N17)/12</f>
        <v>1063.25</v>
      </c>
      <c r="E17" s="562">
        <v>1268</v>
      </c>
      <c r="F17" s="564">
        <v>1024</v>
      </c>
      <c r="G17" s="562">
        <v>876</v>
      </c>
      <c r="H17" s="562">
        <v>1074</v>
      </c>
      <c r="I17" s="562">
        <v>1124</v>
      </c>
      <c r="J17" s="562">
        <v>1226</v>
      </c>
      <c r="K17" s="562">
        <v>1297</v>
      </c>
      <c r="L17" s="562">
        <v>1159</v>
      </c>
      <c r="M17" s="562">
        <v>485</v>
      </c>
      <c r="N17" s="562">
        <v>1082</v>
      </c>
      <c r="O17" s="562">
        <v>957</v>
      </c>
      <c r="P17" s="562">
        <v>1187</v>
      </c>
    </row>
    <row r="18" spans="1:16" ht="15" x14ac:dyDescent="0.2">
      <c r="A18" s="140">
        <v>3</v>
      </c>
      <c r="B18" s="561" t="s">
        <v>1074</v>
      </c>
      <c r="C18" s="562">
        <v>2091</v>
      </c>
      <c r="D18" s="563">
        <f t="shared" si="0"/>
        <v>1506.5</v>
      </c>
      <c r="E18" s="562">
        <v>1630</v>
      </c>
      <c r="F18" s="564">
        <v>1518</v>
      </c>
      <c r="G18" s="562">
        <v>1263</v>
      </c>
      <c r="H18" s="562">
        <v>1545</v>
      </c>
      <c r="I18" s="562">
        <v>1655</v>
      </c>
      <c r="J18" s="562">
        <v>1737</v>
      </c>
      <c r="K18" s="562">
        <v>1824</v>
      </c>
      <c r="L18" s="562">
        <v>1658</v>
      </c>
      <c r="M18" s="562">
        <v>833</v>
      </c>
      <c r="N18" s="562">
        <v>1497</v>
      </c>
      <c r="O18" s="562">
        <v>1336</v>
      </c>
      <c r="P18" s="562">
        <v>1582</v>
      </c>
    </row>
    <row r="19" spans="1:16" s="135" customFormat="1" ht="15" x14ac:dyDescent="0.2">
      <c r="A19" s="140">
        <v>4</v>
      </c>
      <c r="B19" s="561" t="s">
        <v>1075</v>
      </c>
      <c r="C19" s="562">
        <v>1832</v>
      </c>
      <c r="D19" s="563">
        <f t="shared" si="0"/>
        <v>1507.9166666666667</v>
      </c>
      <c r="E19" s="562">
        <v>1759</v>
      </c>
      <c r="F19" s="564">
        <v>1618</v>
      </c>
      <c r="G19" s="562">
        <v>1399</v>
      </c>
      <c r="H19" s="562">
        <v>1643</v>
      </c>
      <c r="I19" s="562">
        <v>1511</v>
      </c>
      <c r="J19" s="562">
        <v>1525</v>
      </c>
      <c r="K19" s="562">
        <v>1600</v>
      </c>
      <c r="L19" s="562">
        <v>1564</v>
      </c>
      <c r="M19" s="562">
        <v>1018</v>
      </c>
      <c r="N19" s="562">
        <v>1546</v>
      </c>
      <c r="O19" s="562">
        <v>1404</v>
      </c>
      <c r="P19" s="562">
        <v>1508</v>
      </c>
    </row>
    <row r="20" spans="1:16" s="135" customFormat="1" ht="15" x14ac:dyDescent="0.2">
      <c r="A20" s="140">
        <v>5</v>
      </c>
      <c r="B20" s="561" t="s">
        <v>1076</v>
      </c>
      <c r="C20" s="562">
        <v>2500</v>
      </c>
      <c r="D20" s="563">
        <f t="shared" si="0"/>
        <v>1484.5833333333333</v>
      </c>
      <c r="E20" s="562">
        <v>1685</v>
      </c>
      <c r="F20" s="564">
        <v>1303</v>
      </c>
      <c r="G20" s="562">
        <v>1108</v>
      </c>
      <c r="H20" s="562">
        <v>1647</v>
      </c>
      <c r="I20" s="562">
        <v>1527</v>
      </c>
      <c r="J20" s="562">
        <v>1562</v>
      </c>
      <c r="K20" s="562">
        <v>1757</v>
      </c>
      <c r="L20" s="562">
        <v>1532</v>
      </c>
      <c r="M20" s="562">
        <v>1027</v>
      </c>
      <c r="N20" s="562">
        <v>1487</v>
      </c>
      <c r="O20" s="562">
        <v>1523</v>
      </c>
      <c r="P20" s="562">
        <v>1657</v>
      </c>
    </row>
    <row r="21" spans="1:16" s="135" customFormat="1" ht="15" x14ac:dyDescent="0.2">
      <c r="A21" s="140">
        <v>6</v>
      </c>
      <c r="B21" s="561" t="s">
        <v>1078</v>
      </c>
      <c r="C21" s="562">
        <v>1532</v>
      </c>
      <c r="D21" s="563">
        <f t="shared" si="0"/>
        <v>907.66666666666663</v>
      </c>
      <c r="E21" s="562">
        <v>1065</v>
      </c>
      <c r="F21" s="564">
        <v>948</v>
      </c>
      <c r="G21" s="562">
        <v>841</v>
      </c>
      <c r="H21" s="562">
        <v>1036</v>
      </c>
      <c r="I21" s="562">
        <v>913</v>
      </c>
      <c r="J21" s="562">
        <v>930</v>
      </c>
      <c r="K21" s="562">
        <v>972</v>
      </c>
      <c r="L21" s="562">
        <v>910</v>
      </c>
      <c r="M21" s="562">
        <v>568</v>
      </c>
      <c r="N21" s="562">
        <v>912</v>
      </c>
      <c r="O21" s="562">
        <v>825</v>
      </c>
      <c r="P21" s="562">
        <v>972</v>
      </c>
    </row>
    <row r="22" spans="1:16" s="135" customFormat="1" ht="15" x14ac:dyDescent="0.2">
      <c r="A22" s="140">
        <v>7</v>
      </c>
      <c r="B22" s="561" t="s">
        <v>1079</v>
      </c>
      <c r="C22" s="562">
        <v>3341</v>
      </c>
      <c r="D22" s="563">
        <f t="shared" si="0"/>
        <v>2396.3333333333335</v>
      </c>
      <c r="E22" s="562">
        <v>2625</v>
      </c>
      <c r="F22" s="564">
        <v>2352</v>
      </c>
      <c r="G22" s="562">
        <v>2017</v>
      </c>
      <c r="H22" s="562">
        <v>2475</v>
      </c>
      <c r="I22" s="562">
        <v>2695</v>
      </c>
      <c r="J22" s="562">
        <v>2789</v>
      </c>
      <c r="K22" s="562">
        <v>2711</v>
      </c>
      <c r="L22" s="562">
        <v>2542</v>
      </c>
      <c r="M22" s="562">
        <v>1274</v>
      </c>
      <c r="N22" s="562">
        <v>2397</v>
      </c>
      <c r="O22" s="562">
        <v>2461</v>
      </c>
      <c r="P22" s="562">
        <v>2418</v>
      </c>
    </row>
    <row r="23" spans="1:16" s="135" customFormat="1" ht="15" x14ac:dyDescent="0.2">
      <c r="A23" s="140">
        <v>8</v>
      </c>
      <c r="B23" s="561" t="s">
        <v>1080</v>
      </c>
      <c r="C23" s="562">
        <v>1722</v>
      </c>
      <c r="D23" s="563">
        <f t="shared" si="0"/>
        <v>1012.25</v>
      </c>
      <c r="E23" s="562">
        <v>1186</v>
      </c>
      <c r="F23" s="564">
        <v>923</v>
      </c>
      <c r="G23" s="562">
        <v>725</v>
      </c>
      <c r="H23" s="562">
        <v>1188</v>
      </c>
      <c r="I23" s="562">
        <v>835</v>
      </c>
      <c r="J23" s="562">
        <v>849</v>
      </c>
      <c r="K23" s="562">
        <v>979</v>
      </c>
      <c r="L23" s="562">
        <v>970</v>
      </c>
      <c r="M23" s="562">
        <v>845</v>
      </c>
      <c r="N23" s="562">
        <v>1087</v>
      </c>
      <c r="O23" s="562">
        <v>1247</v>
      </c>
      <c r="P23" s="562">
        <v>1313</v>
      </c>
    </row>
    <row r="24" spans="1:16" s="135" customFormat="1" ht="15" x14ac:dyDescent="0.2">
      <c r="A24" s="140">
        <v>9</v>
      </c>
      <c r="B24" s="561" t="s">
        <v>1081</v>
      </c>
      <c r="C24" s="562">
        <v>1730</v>
      </c>
      <c r="D24" s="563">
        <f t="shared" si="0"/>
        <v>1091.6666666666667</v>
      </c>
      <c r="E24" s="562">
        <v>1143</v>
      </c>
      <c r="F24" s="564">
        <v>944</v>
      </c>
      <c r="G24" s="562">
        <v>812</v>
      </c>
      <c r="H24" s="562">
        <v>1128</v>
      </c>
      <c r="I24" s="562">
        <v>1186</v>
      </c>
      <c r="J24" s="562">
        <v>1317</v>
      </c>
      <c r="K24" s="562">
        <v>1249</v>
      </c>
      <c r="L24" s="562">
        <v>1220</v>
      </c>
      <c r="M24" s="562">
        <v>921</v>
      </c>
      <c r="N24" s="562">
        <v>1069</v>
      </c>
      <c r="O24" s="562">
        <v>1052</v>
      </c>
      <c r="P24" s="562">
        <v>1059</v>
      </c>
    </row>
    <row r="25" spans="1:16" s="135" customFormat="1" ht="15" x14ac:dyDescent="0.2">
      <c r="A25" s="140">
        <v>10</v>
      </c>
      <c r="B25" s="561" t="s">
        <v>1082</v>
      </c>
      <c r="C25" s="562">
        <v>1593</v>
      </c>
      <c r="D25" s="563">
        <f t="shared" si="0"/>
        <v>1093.5833333333333</v>
      </c>
      <c r="E25" s="562">
        <v>1281</v>
      </c>
      <c r="F25" s="564">
        <v>1122</v>
      </c>
      <c r="G25" s="562">
        <v>979</v>
      </c>
      <c r="H25" s="562">
        <v>1271</v>
      </c>
      <c r="I25" s="562">
        <v>1232</v>
      </c>
      <c r="J25" s="562">
        <v>1242</v>
      </c>
      <c r="K25" s="562">
        <v>1257</v>
      </c>
      <c r="L25" s="562">
        <v>1138</v>
      </c>
      <c r="M25" s="562">
        <v>688</v>
      </c>
      <c r="N25" s="562">
        <v>1014</v>
      </c>
      <c r="O25" s="562">
        <v>858</v>
      </c>
      <c r="P25" s="562">
        <v>1041</v>
      </c>
    </row>
    <row r="26" spans="1:16" s="135" customFormat="1" ht="15" x14ac:dyDescent="0.2">
      <c r="A26" s="140">
        <v>11</v>
      </c>
      <c r="B26" s="561" t="s">
        <v>1083</v>
      </c>
      <c r="C26" s="562">
        <v>1166</v>
      </c>
      <c r="D26" s="563">
        <f t="shared" si="0"/>
        <v>802.16666666666663</v>
      </c>
      <c r="E26" s="562">
        <v>925</v>
      </c>
      <c r="F26" s="564">
        <v>762</v>
      </c>
      <c r="G26" s="562">
        <v>615</v>
      </c>
      <c r="H26" s="562">
        <v>882</v>
      </c>
      <c r="I26" s="562">
        <v>809</v>
      </c>
      <c r="J26" s="562">
        <v>848</v>
      </c>
      <c r="K26" s="562">
        <v>934</v>
      </c>
      <c r="L26" s="562">
        <v>901</v>
      </c>
      <c r="M26" s="562">
        <v>496</v>
      </c>
      <c r="N26" s="562">
        <v>819</v>
      </c>
      <c r="O26" s="562">
        <v>809</v>
      </c>
      <c r="P26" s="562">
        <v>826</v>
      </c>
    </row>
    <row r="27" spans="1:16" s="135" customFormat="1" ht="15" x14ac:dyDescent="0.2">
      <c r="A27" s="140">
        <v>12</v>
      </c>
      <c r="B27" s="561" t="s">
        <v>1084</v>
      </c>
      <c r="C27" s="562">
        <v>1005</v>
      </c>
      <c r="D27" s="563">
        <f t="shared" si="0"/>
        <v>633.66666666666663</v>
      </c>
      <c r="E27" s="562">
        <v>650</v>
      </c>
      <c r="F27" s="564">
        <v>482</v>
      </c>
      <c r="G27" s="562">
        <v>431</v>
      </c>
      <c r="H27" s="562">
        <v>649</v>
      </c>
      <c r="I27" s="562">
        <v>699</v>
      </c>
      <c r="J27" s="562">
        <v>728</v>
      </c>
      <c r="K27" s="562">
        <v>774</v>
      </c>
      <c r="L27" s="562">
        <v>724</v>
      </c>
      <c r="M27" s="562">
        <v>504</v>
      </c>
      <c r="N27" s="562">
        <v>646</v>
      </c>
      <c r="O27" s="562">
        <v>650</v>
      </c>
      <c r="P27" s="562">
        <v>667</v>
      </c>
    </row>
    <row r="28" spans="1:16" s="135" customFormat="1" ht="15" x14ac:dyDescent="0.2">
      <c r="A28" s="140">
        <v>13</v>
      </c>
      <c r="B28" s="561" t="s">
        <v>1085</v>
      </c>
      <c r="C28" s="562">
        <v>723</v>
      </c>
      <c r="D28" s="563">
        <f t="shared" si="0"/>
        <v>482.08333333333331</v>
      </c>
      <c r="E28" s="562">
        <v>606</v>
      </c>
      <c r="F28" s="564">
        <v>479</v>
      </c>
      <c r="G28" s="562">
        <v>412</v>
      </c>
      <c r="H28" s="562">
        <v>555</v>
      </c>
      <c r="I28" s="562">
        <v>510</v>
      </c>
      <c r="J28" s="562">
        <v>506</v>
      </c>
      <c r="K28" s="562">
        <v>538</v>
      </c>
      <c r="L28" s="562">
        <v>510</v>
      </c>
      <c r="M28" s="562">
        <v>255</v>
      </c>
      <c r="N28" s="562">
        <v>455</v>
      </c>
      <c r="O28" s="562">
        <v>435</v>
      </c>
      <c r="P28" s="562">
        <v>524</v>
      </c>
    </row>
    <row r="29" spans="1:16" s="135" customFormat="1" ht="15" x14ac:dyDescent="0.2">
      <c r="A29" s="140">
        <v>14</v>
      </c>
      <c r="B29" s="561" t="s">
        <v>1086</v>
      </c>
      <c r="C29" s="562">
        <v>1160</v>
      </c>
      <c r="D29" s="563">
        <f t="shared" si="0"/>
        <v>716.5</v>
      </c>
      <c r="E29" s="562">
        <v>878</v>
      </c>
      <c r="F29" s="564">
        <v>690</v>
      </c>
      <c r="G29" s="562">
        <v>622</v>
      </c>
      <c r="H29" s="562">
        <v>776</v>
      </c>
      <c r="I29" s="562">
        <v>703</v>
      </c>
      <c r="J29" s="562">
        <v>727</v>
      </c>
      <c r="K29" s="562">
        <v>727</v>
      </c>
      <c r="L29" s="562">
        <v>710</v>
      </c>
      <c r="M29" s="562">
        <v>461</v>
      </c>
      <c r="N29" s="562">
        <v>694</v>
      </c>
      <c r="O29" s="562">
        <v>827</v>
      </c>
      <c r="P29" s="562">
        <v>783</v>
      </c>
    </row>
    <row r="30" spans="1:16" s="135" customFormat="1" ht="15" x14ac:dyDescent="0.2">
      <c r="A30" s="140">
        <v>15</v>
      </c>
      <c r="B30" s="561" t="s">
        <v>1087</v>
      </c>
      <c r="C30" s="562">
        <v>586</v>
      </c>
      <c r="D30" s="563">
        <f t="shared" si="0"/>
        <v>425.75</v>
      </c>
      <c r="E30" s="562">
        <v>497</v>
      </c>
      <c r="F30" s="564">
        <v>446</v>
      </c>
      <c r="G30" s="562">
        <v>400</v>
      </c>
      <c r="H30" s="562">
        <v>452</v>
      </c>
      <c r="I30" s="562">
        <v>429</v>
      </c>
      <c r="J30" s="562">
        <v>435</v>
      </c>
      <c r="K30" s="562">
        <v>451</v>
      </c>
      <c r="L30" s="562">
        <v>429</v>
      </c>
      <c r="M30" s="562">
        <v>301</v>
      </c>
      <c r="N30" s="562">
        <v>420</v>
      </c>
      <c r="O30" s="562">
        <v>427</v>
      </c>
      <c r="P30" s="562">
        <v>422</v>
      </c>
    </row>
    <row r="31" spans="1:16" s="135" customFormat="1" ht="15" x14ac:dyDescent="0.2">
      <c r="A31" s="140">
        <v>16</v>
      </c>
      <c r="B31" s="561" t="s">
        <v>1088</v>
      </c>
      <c r="C31" s="562">
        <v>1061</v>
      </c>
      <c r="D31" s="563">
        <f t="shared" si="0"/>
        <v>711</v>
      </c>
      <c r="E31" s="562">
        <v>862</v>
      </c>
      <c r="F31" s="564">
        <v>719</v>
      </c>
      <c r="G31" s="562">
        <v>647</v>
      </c>
      <c r="H31" s="562">
        <v>850</v>
      </c>
      <c r="I31" s="562">
        <v>695</v>
      </c>
      <c r="J31" s="562">
        <v>718</v>
      </c>
      <c r="K31" s="562">
        <v>763</v>
      </c>
      <c r="L31" s="562">
        <v>726</v>
      </c>
      <c r="M31" s="562">
        <v>528</v>
      </c>
      <c r="N31" s="562">
        <v>629</v>
      </c>
      <c r="O31" s="562">
        <v>666</v>
      </c>
      <c r="P31" s="562">
        <v>729</v>
      </c>
    </row>
    <row r="32" spans="1:16" ht="15" x14ac:dyDescent="0.2">
      <c r="A32" s="140">
        <v>17</v>
      </c>
      <c r="B32" s="561" t="s">
        <v>1089</v>
      </c>
      <c r="C32" s="562">
        <v>2564</v>
      </c>
      <c r="D32" s="563">
        <f t="shared" si="0"/>
        <v>1833.0833333333333</v>
      </c>
      <c r="E32" s="562">
        <v>1918</v>
      </c>
      <c r="F32" s="564">
        <v>1780</v>
      </c>
      <c r="G32" s="562">
        <v>1453</v>
      </c>
      <c r="H32" s="562">
        <v>2066</v>
      </c>
      <c r="I32" s="562">
        <v>1882</v>
      </c>
      <c r="J32" s="562">
        <v>1905</v>
      </c>
      <c r="K32" s="562">
        <v>2067</v>
      </c>
      <c r="L32" s="562">
        <v>2173</v>
      </c>
      <c r="M32" s="562">
        <v>1038</v>
      </c>
      <c r="N32" s="562">
        <v>2006</v>
      </c>
      <c r="O32" s="562">
        <v>1836</v>
      </c>
      <c r="P32" s="562">
        <v>1873</v>
      </c>
    </row>
    <row r="33" spans="1:18" ht="14.25" customHeight="1" x14ac:dyDescent="0.2">
      <c r="A33" s="140">
        <v>18</v>
      </c>
      <c r="B33" s="561" t="s">
        <v>1096</v>
      </c>
      <c r="C33" s="562">
        <v>2249</v>
      </c>
      <c r="D33" s="563">
        <f t="shared" si="0"/>
        <v>1612.9166666666667</v>
      </c>
      <c r="E33" s="562">
        <v>1911</v>
      </c>
      <c r="F33" s="564">
        <v>1564</v>
      </c>
      <c r="G33" s="562">
        <v>1483</v>
      </c>
      <c r="H33" s="562">
        <v>1847</v>
      </c>
      <c r="I33" s="562">
        <v>1703</v>
      </c>
      <c r="J33" s="562">
        <v>1685</v>
      </c>
      <c r="K33" s="562">
        <v>1780</v>
      </c>
      <c r="L33" s="562">
        <v>1671</v>
      </c>
      <c r="M33" s="562">
        <v>1278</v>
      </c>
      <c r="N33" s="562">
        <v>1532</v>
      </c>
      <c r="O33" s="562">
        <v>1352</v>
      </c>
      <c r="P33" s="562">
        <v>1549</v>
      </c>
    </row>
    <row r="34" spans="1:18" ht="15" x14ac:dyDescent="0.2">
      <c r="A34" s="140">
        <v>19</v>
      </c>
      <c r="B34" s="561" t="s">
        <v>1097</v>
      </c>
      <c r="C34" s="562">
        <v>1990</v>
      </c>
      <c r="D34" s="563">
        <f t="shared" si="0"/>
        <v>1498</v>
      </c>
      <c r="E34" s="562">
        <v>1803</v>
      </c>
      <c r="F34" s="564">
        <v>1443</v>
      </c>
      <c r="G34" s="562">
        <v>1363</v>
      </c>
      <c r="H34" s="562">
        <v>1517</v>
      </c>
      <c r="I34" s="562">
        <v>1500</v>
      </c>
      <c r="J34" s="562">
        <v>1535</v>
      </c>
      <c r="K34" s="562">
        <v>1546</v>
      </c>
      <c r="L34" s="562">
        <v>1547</v>
      </c>
      <c r="M34" s="562">
        <v>1409</v>
      </c>
      <c r="N34" s="562">
        <v>1519</v>
      </c>
      <c r="O34" s="562">
        <v>1377</v>
      </c>
      <c r="P34" s="562">
        <v>1417</v>
      </c>
    </row>
    <row r="35" spans="1:18" ht="15" x14ac:dyDescent="0.2">
      <c r="A35" s="140">
        <v>20</v>
      </c>
      <c r="B35" s="561" t="s">
        <v>1090</v>
      </c>
      <c r="C35" s="562">
        <v>699</v>
      </c>
      <c r="D35" s="563">
        <f t="shared" si="0"/>
        <v>478.5</v>
      </c>
      <c r="E35" s="562">
        <v>626</v>
      </c>
      <c r="F35" s="564">
        <v>569</v>
      </c>
      <c r="G35" s="562">
        <v>443</v>
      </c>
      <c r="H35" s="562">
        <v>516</v>
      </c>
      <c r="I35" s="562">
        <v>484</v>
      </c>
      <c r="J35" s="562">
        <v>479</v>
      </c>
      <c r="K35" s="562">
        <v>501</v>
      </c>
      <c r="L35" s="562">
        <v>469</v>
      </c>
      <c r="M35" s="562">
        <v>327</v>
      </c>
      <c r="N35" s="562">
        <v>472</v>
      </c>
      <c r="O35" s="562">
        <v>431</v>
      </c>
      <c r="P35" s="562">
        <v>425</v>
      </c>
    </row>
    <row r="36" spans="1:18" ht="15" x14ac:dyDescent="0.2">
      <c r="A36" s="140">
        <v>21</v>
      </c>
      <c r="B36" s="561" t="s">
        <v>1091</v>
      </c>
      <c r="C36" s="562">
        <v>2467</v>
      </c>
      <c r="D36" s="563">
        <f t="shared" si="0"/>
        <v>1652.8333333333333</v>
      </c>
      <c r="E36" s="562">
        <v>2130</v>
      </c>
      <c r="F36" s="564">
        <v>1784</v>
      </c>
      <c r="G36" s="562">
        <v>1517</v>
      </c>
      <c r="H36" s="562">
        <v>1840</v>
      </c>
      <c r="I36" s="562">
        <v>1718</v>
      </c>
      <c r="J36" s="562">
        <v>1711</v>
      </c>
      <c r="K36" s="562">
        <v>1762</v>
      </c>
      <c r="L36" s="562">
        <v>1680</v>
      </c>
      <c r="M36" s="562">
        <v>1333</v>
      </c>
      <c r="N36" s="562">
        <v>1598</v>
      </c>
      <c r="O36" s="562">
        <v>1320</v>
      </c>
      <c r="P36" s="562">
        <v>1441</v>
      </c>
    </row>
    <row r="37" spans="1:18" ht="15" x14ac:dyDescent="0.2">
      <c r="A37" s="140">
        <v>22</v>
      </c>
      <c r="B37" s="561" t="s">
        <v>1092</v>
      </c>
      <c r="C37" s="562">
        <v>1431</v>
      </c>
      <c r="D37" s="563">
        <f t="shared" si="0"/>
        <v>987.16666666666663</v>
      </c>
      <c r="E37" s="562">
        <v>1178</v>
      </c>
      <c r="F37" s="564">
        <v>1144</v>
      </c>
      <c r="G37" s="562">
        <v>883</v>
      </c>
      <c r="H37" s="562">
        <v>1019</v>
      </c>
      <c r="I37" s="562">
        <v>975</v>
      </c>
      <c r="J37" s="562">
        <v>992</v>
      </c>
      <c r="K37" s="562">
        <v>1034</v>
      </c>
      <c r="L37" s="562">
        <v>1007</v>
      </c>
      <c r="M37" s="562">
        <v>629</v>
      </c>
      <c r="N37" s="562">
        <v>983</v>
      </c>
      <c r="O37" s="562">
        <v>1006</v>
      </c>
      <c r="P37" s="562">
        <v>996</v>
      </c>
    </row>
    <row r="38" spans="1:18" ht="15" customHeight="1" x14ac:dyDescent="0.2">
      <c r="A38" s="140">
        <v>23</v>
      </c>
      <c r="B38" s="561" t="s">
        <v>1093</v>
      </c>
      <c r="C38" s="562">
        <v>1661</v>
      </c>
      <c r="D38" s="563">
        <f t="shared" si="0"/>
        <v>1143.1666666666667</v>
      </c>
      <c r="E38" s="562">
        <v>1355</v>
      </c>
      <c r="F38" s="564">
        <v>1074</v>
      </c>
      <c r="G38" s="562">
        <v>1011</v>
      </c>
      <c r="H38" s="562">
        <v>1235</v>
      </c>
      <c r="I38" s="562">
        <v>1229</v>
      </c>
      <c r="J38" s="562">
        <v>1238</v>
      </c>
      <c r="K38" s="562">
        <v>1259</v>
      </c>
      <c r="L38" s="562">
        <v>1231</v>
      </c>
      <c r="M38" s="562">
        <v>895</v>
      </c>
      <c r="N38" s="562">
        <v>1129</v>
      </c>
      <c r="O38" s="562">
        <v>992</v>
      </c>
      <c r="P38" s="562">
        <v>1070</v>
      </c>
    </row>
    <row r="39" spans="1:18" ht="15" x14ac:dyDescent="0.2">
      <c r="A39" s="140">
        <v>24</v>
      </c>
      <c r="B39" s="561" t="s">
        <v>1094</v>
      </c>
      <c r="C39" s="562">
        <v>1080</v>
      </c>
      <c r="D39" s="563">
        <f t="shared" si="0"/>
        <v>826</v>
      </c>
      <c r="E39" s="562">
        <v>952</v>
      </c>
      <c r="F39" s="564">
        <v>861</v>
      </c>
      <c r="G39" s="562">
        <v>742</v>
      </c>
      <c r="H39" s="562">
        <v>881</v>
      </c>
      <c r="I39" s="562">
        <v>848</v>
      </c>
      <c r="J39" s="562">
        <v>859</v>
      </c>
      <c r="K39" s="562">
        <v>880</v>
      </c>
      <c r="L39" s="562">
        <v>835</v>
      </c>
      <c r="M39" s="562">
        <v>681</v>
      </c>
      <c r="N39" s="562">
        <v>795</v>
      </c>
      <c r="O39" s="562">
        <v>810</v>
      </c>
      <c r="P39" s="562">
        <v>768</v>
      </c>
    </row>
    <row r="40" spans="1:18" x14ac:dyDescent="0.2">
      <c r="A40" s="995" t="s">
        <v>15</v>
      </c>
      <c r="B40" s="996"/>
      <c r="C40" s="138">
        <f t="shared" ref="C40:P40" si="1">SUM(C16:C39)</f>
        <v>39703</v>
      </c>
      <c r="D40" s="565">
        <f t="shared" si="1"/>
        <v>27256.916666666668</v>
      </c>
      <c r="E40" s="138">
        <f t="shared" si="1"/>
        <v>31593</v>
      </c>
      <c r="F40" s="138">
        <f t="shared" si="1"/>
        <v>26942</v>
      </c>
      <c r="G40" s="138">
        <f t="shared" si="1"/>
        <v>23362</v>
      </c>
      <c r="H40" s="138">
        <f t="shared" si="1"/>
        <v>29524</v>
      </c>
      <c r="I40" s="138">
        <f t="shared" si="1"/>
        <v>28299</v>
      </c>
      <c r="J40" s="138">
        <f t="shared" si="1"/>
        <v>29040</v>
      </c>
      <c r="K40" s="138">
        <f t="shared" si="1"/>
        <v>30162</v>
      </c>
      <c r="L40" s="138">
        <f t="shared" si="1"/>
        <v>28770</v>
      </c>
      <c r="M40" s="138">
        <f t="shared" si="1"/>
        <v>18650</v>
      </c>
      <c r="N40" s="138">
        <f t="shared" si="1"/>
        <v>27191</v>
      </c>
      <c r="O40" s="138">
        <f t="shared" si="1"/>
        <v>25861</v>
      </c>
      <c r="P40" s="138">
        <f t="shared" si="1"/>
        <v>27689</v>
      </c>
      <c r="Q40" s="186">
        <f>AVERAGE(E40:P40)</f>
        <v>27256.916666666668</v>
      </c>
      <c r="R40" s="186">
        <v>35773</v>
      </c>
    </row>
    <row r="43" spans="1:18" x14ac:dyDescent="0.2">
      <c r="H43" s="201"/>
      <c r="I43" s="201"/>
      <c r="J43" s="201"/>
      <c r="K43" s="201"/>
      <c r="L43" s="201"/>
      <c r="M43" s="201"/>
    </row>
    <row r="44" spans="1:18" x14ac:dyDescent="0.2">
      <c r="H44" s="201"/>
      <c r="I44" s="201"/>
      <c r="J44" s="201"/>
      <c r="K44" s="201"/>
      <c r="L44" s="201"/>
      <c r="M44" s="201"/>
      <c r="R44" s="186">
        <f>Q40/R40</f>
        <v>0.76194103560413351</v>
      </c>
    </row>
    <row r="45" spans="1:18" x14ac:dyDescent="0.2">
      <c r="A45" s="669"/>
      <c r="B45" s="669"/>
      <c r="C45" s="669"/>
      <c r="D45" s="669"/>
      <c r="E45" s="669"/>
      <c r="F45" s="669"/>
      <c r="G45" s="669"/>
      <c r="H45" s="865" t="s">
        <v>1107</v>
      </c>
      <c r="I45" s="865"/>
      <c r="J45" s="865"/>
      <c r="K45" s="865"/>
      <c r="L45" s="865"/>
      <c r="M45" s="865"/>
    </row>
    <row r="46" spans="1:18" ht="15.75" customHeight="1" x14ac:dyDescent="0.2">
      <c r="A46" s="669"/>
      <c r="B46" s="669"/>
      <c r="C46" s="669"/>
      <c r="D46" s="669"/>
      <c r="E46" s="669"/>
      <c r="F46" s="669"/>
      <c r="G46" s="669"/>
      <c r="H46" s="865" t="s">
        <v>1108</v>
      </c>
      <c r="I46" s="865"/>
      <c r="J46" s="865"/>
      <c r="K46" s="865"/>
      <c r="L46" s="865"/>
      <c r="M46" s="865"/>
      <c r="N46" s="567"/>
    </row>
    <row r="47" spans="1:18" ht="15.75" customHeight="1" x14ac:dyDescent="0.2">
      <c r="A47" s="669"/>
      <c r="B47" s="669"/>
      <c r="C47" s="669"/>
      <c r="D47" s="669"/>
      <c r="E47" s="669"/>
      <c r="F47" s="669"/>
      <c r="G47" s="669"/>
      <c r="H47" s="865" t="s">
        <v>1113</v>
      </c>
      <c r="I47" s="865"/>
      <c r="J47" s="865"/>
      <c r="K47" s="865"/>
      <c r="L47" s="865"/>
      <c r="M47" s="865"/>
      <c r="N47" s="567"/>
    </row>
    <row r="48" spans="1:18" x14ac:dyDescent="0.2">
      <c r="A48" s="186" t="s">
        <v>11</v>
      </c>
      <c r="B48" s="669"/>
      <c r="C48" s="669"/>
      <c r="D48" s="669"/>
      <c r="E48" s="669"/>
      <c r="F48" s="669"/>
      <c r="G48" s="669"/>
      <c r="H48" s="866" t="s">
        <v>1110</v>
      </c>
      <c r="I48" s="866"/>
      <c r="J48" s="866"/>
      <c r="K48" s="866"/>
      <c r="L48" s="669"/>
      <c r="M48" s="669"/>
      <c r="N48" s="567"/>
    </row>
  </sheetData>
  <mergeCells count="18">
    <mergeCell ref="C13:C14"/>
    <mergeCell ref="H46:M46"/>
    <mergeCell ref="A40:B40"/>
    <mergeCell ref="H45:M45"/>
    <mergeCell ref="A9:F9"/>
    <mergeCell ref="A10:F10"/>
    <mergeCell ref="D13:D14"/>
    <mergeCell ref="K12:P12"/>
    <mergeCell ref="H47:M47"/>
    <mergeCell ref="C2:J2"/>
    <mergeCell ref="E13:P13"/>
    <mergeCell ref="H48:K48"/>
    <mergeCell ref="L1:M1"/>
    <mergeCell ref="H1:I1"/>
    <mergeCell ref="A3:M3"/>
    <mergeCell ref="A4:M4"/>
    <mergeCell ref="A13:A14"/>
    <mergeCell ref="B13:B14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view="pageBreakPreview" topLeftCell="A10" zoomScale="70" zoomScaleNormal="80" zoomScaleSheetLayoutView="70" workbookViewId="0">
      <selection activeCell="R40" sqref="R40"/>
    </sheetView>
  </sheetViews>
  <sheetFormatPr defaultRowHeight="12.75" x14ac:dyDescent="0.2"/>
  <cols>
    <col min="2" max="2" width="18.42578125" customWidth="1"/>
    <col min="3" max="5" width="13.71093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867" t="s">
        <v>0</v>
      </c>
      <c r="D1" s="867"/>
      <c r="E1" s="867"/>
      <c r="F1" s="867"/>
      <c r="G1" s="867"/>
      <c r="H1" s="867"/>
      <c r="I1" s="867"/>
      <c r="J1" s="209"/>
      <c r="K1" s="209"/>
      <c r="L1" s="997" t="s">
        <v>523</v>
      </c>
      <c r="M1" s="997"/>
      <c r="N1" s="209"/>
      <c r="O1" s="209"/>
      <c r="P1" s="209"/>
    </row>
    <row r="2" spans="1:16" ht="21" x14ac:dyDescent="0.35">
      <c r="B2" s="868" t="s">
        <v>694</v>
      </c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210"/>
      <c r="N2" s="210"/>
      <c r="O2" s="210"/>
      <c r="P2" s="210"/>
    </row>
    <row r="3" spans="1:16" ht="21" x14ac:dyDescent="0.35"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210"/>
      <c r="O3" s="210"/>
      <c r="P3" s="210"/>
    </row>
    <row r="4" spans="1:16" ht="20.25" customHeight="1" x14ac:dyDescent="0.2">
      <c r="A4" s="1055" t="s">
        <v>522</v>
      </c>
      <c r="B4" s="1055"/>
      <c r="C4" s="1055"/>
      <c r="D4" s="1055"/>
      <c r="E4" s="1055"/>
      <c r="F4" s="1055"/>
      <c r="G4" s="1055"/>
      <c r="H4" s="1055"/>
      <c r="I4" s="1055"/>
      <c r="J4" s="1055"/>
      <c r="K4" s="1055"/>
      <c r="L4" s="1055"/>
      <c r="M4" s="1055"/>
    </row>
    <row r="5" spans="1:16" ht="20.25" customHeight="1" x14ac:dyDescent="0.2">
      <c r="A5" s="191" t="s">
        <v>1098</v>
      </c>
      <c r="B5" s="191"/>
      <c r="C5" s="598"/>
      <c r="D5" s="598"/>
      <c r="E5" s="598"/>
      <c r="F5" s="598"/>
      <c r="G5" s="598"/>
      <c r="H5" s="870" t="s">
        <v>772</v>
      </c>
      <c r="I5" s="870"/>
      <c r="J5" s="870"/>
      <c r="K5" s="870"/>
      <c r="L5" s="870"/>
      <c r="M5" s="870"/>
      <c r="N5" s="94"/>
    </row>
    <row r="6" spans="1:16" ht="15" customHeight="1" x14ac:dyDescent="0.2">
      <c r="A6" s="953" t="s">
        <v>70</v>
      </c>
      <c r="B6" s="953" t="s">
        <v>283</v>
      </c>
      <c r="C6" s="953" t="s">
        <v>413</v>
      </c>
      <c r="D6" s="953"/>
      <c r="E6" s="953"/>
      <c r="F6" s="953"/>
      <c r="G6" s="953"/>
      <c r="H6" s="953" t="s">
        <v>410</v>
      </c>
      <c r="I6" s="953"/>
      <c r="J6" s="953"/>
      <c r="K6" s="953"/>
      <c r="L6" s="953"/>
      <c r="M6" s="953" t="s">
        <v>284</v>
      </c>
    </row>
    <row r="7" spans="1:16" ht="12.75" customHeight="1" x14ac:dyDescent="0.2">
      <c r="A7" s="953"/>
      <c r="B7" s="953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</row>
    <row r="8" spans="1:16" ht="5.25" customHeight="1" x14ac:dyDescent="0.2">
      <c r="A8" s="953"/>
      <c r="B8" s="953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</row>
    <row r="9" spans="1:16" ht="68.25" customHeight="1" x14ac:dyDescent="0.2">
      <c r="A9" s="953"/>
      <c r="B9" s="953"/>
      <c r="C9" s="214" t="s">
        <v>285</v>
      </c>
      <c r="D9" s="214" t="s">
        <v>286</v>
      </c>
      <c r="E9" s="214" t="s">
        <v>287</v>
      </c>
      <c r="F9" s="214" t="s">
        <v>288</v>
      </c>
      <c r="G9" s="556" t="s">
        <v>289</v>
      </c>
      <c r="H9" s="556" t="s">
        <v>409</v>
      </c>
      <c r="I9" s="556" t="s">
        <v>414</v>
      </c>
      <c r="J9" s="556" t="s">
        <v>411</v>
      </c>
      <c r="K9" s="556" t="s">
        <v>412</v>
      </c>
      <c r="L9" s="556" t="s">
        <v>43</v>
      </c>
      <c r="M9" s="953"/>
    </row>
    <row r="10" spans="1:16" ht="15" x14ac:dyDescent="0.25">
      <c r="A10" s="215">
        <v>1</v>
      </c>
      <c r="B10" s="215">
        <v>2</v>
      </c>
      <c r="C10" s="215">
        <v>3</v>
      </c>
      <c r="D10" s="215">
        <v>4</v>
      </c>
      <c r="E10" s="215">
        <v>5</v>
      </c>
      <c r="F10" s="215">
        <v>6</v>
      </c>
      <c r="G10" s="215">
        <v>7</v>
      </c>
      <c r="H10" s="215">
        <v>8</v>
      </c>
      <c r="I10" s="215">
        <v>9</v>
      </c>
      <c r="J10" s="215">
        <v>10</v>
      </c>
      <c r="K10" s="215">
        <v>11</v>
      </c>
      <c r="L10" s="215">
        <v>12</v>
      </c>
      <c r="M10" s="215">
        <v>13</v>
      </c>
    </row>
    <row r="11" spans="1:16" ht="15" x14ac:dyDescent="0.25">
      <c r="A11" s="253">
        <v>1</v>
      </c>
      <c r="B11" s="351" t="s">
        <v>875</v>
      </c>
      <c r="C11" s="1056" t="s">
        <v>1105</v>
      </c>
      <c r="D11" s="1057"/>
      <c r="E11" s="1057"/>
      <c r="F11" s="1057"/>
      <c r="G11" s="1057"/>
      <c r="H11" s="1057"/>
      <c r="I11" s="1057"/>
      <c r="J11" s="1057"/>
      <c r="K11" s="1057"/>
      <c r="L11" s="1057"/>
      <c r="M11" s="1057"/>
    </row>
    <row r="12" spans="1:16" ht="15" x14ac:dyDescent="0.25">
      <c r="A12" s="253">
        <v>2</v>
      </c>
      <c r="B12" s="351" t="s">
        <v>876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</row>
    <row r="13" spans="1:16" ht="15" x14ac:dyDescent="0.25">
      <c r="A13" s="253">
        <v>3</v>
      </c>
      <c r="B13" s="351" t="s">
        <v>877</v>
      </c>
      <c r="C13" s="1057"/>
      <c r="D13" s="1057"/>
      <c r="E13" s="1057"/>
      <c r="F13" s="1057"/>
      <c r="G13" s="1057"/>
      <c r="H13" s="1057"/>
      <c r="I13" s="1057"/>
      <c r="J13" s="1057"/>
      <c r="K13" s="1057"/>
      <c r="L13" s="1057"/>
      <c r="M13" s="1057"/>
    </row>
    <row r="14" spans="1:16" ht="15" x14ac:dyDescent="0.25">
      <c r="A14" s="253">
        <v>4</v>
      </c>
      <c r="B14" s="351" t="s">
        <v>878</v>
      </c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</row>
    <row r="15" spans="1:16" ht="15" x14ac:dyDescent="0.25">
      <c r="A15" s="253">
        <v>5</v>
      </c>
      <c r="B15" s="351" t="s">
        <v>879</v>
      </c>
      <c r="C15" s="1057"/>
      <c r="D15" s="1057"/>
      <c r="E15" s="1057"/>
      <c r="F15" s="1057"/>
      <c r="G15" s="1057"/>
      <c r="H15" s="1057"/>
      <c r="I15" s="1057"/>
      <c r="J15" s="1057"/>
      <c r="K15" s="1057"/>
      <c r="L15" s="1057"/>
      <c r="M15" s="1057"/>
    </row>
    <row r="16" spans="1:16" ht="15" x14ac:dyDescent="0.25">
      <c r="A16" s="253">
        <v>6</v>
      </c>
      <c r="B16" s="351" t="s">
        <v>880</v>
      </c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</row>
    <row r="17" spans="1:13" ht="15" x14ac:dyDescent="0.25">
      <c r="A17" s="253">
        <v>7</v>
      </c>
      <c r="B17" s="351" t="s">
        <v>923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</row>
    <row r="18" spans="1:13" ht="15" x14ac:dyDescent="0.25">
      <c r="A18" s="253">
        <v>8</v>
      </c>
      <c r="B18" s="351" t="s">
        <v>882</v>
      </c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</row>
    <row r="19" spans="1:13" ht="15" x14ac:dyDescent="0.25">
      <c r="A19" s="253">
        <v>9</v>
      </c>
      <c r="B19" s="351" t="s">
        <v>883</v>
      </c>
      <c r="C19" s="1057"/>
      <c r="D19" s="1057"/>
      <c r="E19" s="1057"/>
      <c r="F19" s="1057"/>
      <c r="G19" s="1057"/>
      <c r="H19" s="1057"/>
      <c r="I19" s="1057"/>
      <c r="J19" s="1057"/>
      <c r="K19" s="1057"/>
      <c r="L19" s="1057"/>
      <c r="M19" s="1057"/>
    </row>
    <row r="20" spans="1:13" ht="15" x14ac:dyDescent="0.25">
      <c r="A20" s="253">
        <v>10</v>
      </c>
      <c r="B20" s="351" t="s">
        <v>884</v>
      </c>
      <c r="C20" s="1057"/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</row>
    <row r="21" spans="1:13" ht="15" x14ac:dyDescent="0.25">
      <c r="A21" s="253">
        <v>11</v>
      </c>
      <c r="B21" s="351" t="s">
        <v>885</v>
      </c>
      <c r="C21" s="1057"/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</row>
    <row r="22" spans="1:13" ht="15" x14ac:dyDescent="0.25">
      <c r="A22" s="253">
        <v>12</v>
      </c>
      <c r="B22" s="351" t="s">
        <v>886</v>
      </c>
      <c r="C22" s="1057"/>
      <c r="D22" s="1057"/>
      <c r="E22" s="1057"/>
      <c r="F22" s="1057"/>
      <c r="G22" s="1057"/>
      <c r="H22" s="1057"/>
      <c r="I22" s="1057"/>
      <c r="J22" s="1057"/>
      <c r="K22" s="1057"/>
      <c r="L22" s="1057"/>
      <c r="M22" s="1057"/>
    </row>
    <row r="23" spans="1:13" ht="15" x14ac:dyDescent="0.25">
      <c r="A23" s="253">
        <v>13</v>
      </c>
      <c r="B23" s="351" t="s">
        <v>887</v>
      </c>
      <c r="C23" s="1057"/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</row>
    <row r="24" spans="1:13" ht="15" x14ac:dyDescent="0.25">
      <c r="A24" s="253">
        <v>14</v>
      </c>
      <c r="B24" s="351" t="s">
        <v>888</v>
      </c>
      <c r="C24" s="1057"/>
      <c r="D24" s="1057"/>
      <c r="E24" s="1057"/>
      <c r="F24" s="1057"/>
      <c r="G24" s="1057"/>
      <c r="H24" s="1057"/>
      <c r="I24" s="1057"/>
      <c r="J24" s="1057"/>
      <c r="K24" s="1057"/>
      <c r="L24" s="1057"/>
      <c r="M24" s="1057"/>
    </row>
    <row r="25" spans="1:13" ht="15" x14ac:dyDescent="0.25">
      <c r="A25" s="253">
        <v>15</v>
      </c>
      <c r="B25" s="351" t="s">
        <v>924</v>
      </c>
      <c r="C25" s="1057"/>
      <c r="D25" s="1057"/>
      <c r="E25" s="1057"/>
      <c r="F25" s="1057"/>
      <c r="G25" s="1057"/>
      <c r="H25" s="1057"/>
      <c r="I25" s="1057"/>
      <c r="J25" s="1057"/>
      <c r="K25" s="1057"/>
      <c r="L25" s="1057"/>
      <c r="M25" s="1057"/>
    </row>
    <row r="26" spans="1:13" ht="15" x14ac:dyDescent="0.25">
      <c r="A26" s="253">
        <v>16</v>
      </c>
      <c r="B26" s="351" t="s">
        <v>890</v>
      </c>
      <c r="C26" s="1057"/>
      <c r="D26" s="1057"/>
      <c r="E26" s="1057"/>
      <c r="F26" s="1057"/>
      <c r="G26" s="1057"/>
      <c r="H26" s="1057"/>
      <c r="I26" s="1057"/>
      <c r="J26" s="1057"/>
      <c r="K26" s="1057"/>
      <c r="L26" s="1057"/>
      <c r="M26" s="1057"/>
    </row>
    <row r="27" spans="1:13" ht="15" x14ac:dyDescent="0.25">
      <c r="A27" s="253">
        <v>17</v>
      </c>
      <c r="B27" s="351" t="s">
        <v>891</v>
      </c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</row>
    <row r="28" spans="1:13" ht="15" x14ac:dyDescent="0.25">
      <c r="A28" s="253">
        <v>18</v>
      </c>
      <c r="B28" s="351" t="s">
        <v>892</v>
      </c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</row>
    <row r="29" spans="1:13" ht="15" x14ac:dyDescent="0.25">
      <c r="A29" s="253">
        <v>19</v>
      </c>
      <c r="B29" s="351" t="s">
        <v>893</v>
      </c>
      <c r="C29" s="1057"/>
      <c r="D29" s="1057"/>
      <c r="E29" s="1057"/>
      <c r="F29" s="1057"/>
      <c r="G29" s="1057"/>
      <c r="H29" s="1057"/>
      <c r="I29" s="1057"/>
      <c r="J29" s="1057"/>
      <c r="K29" s="1057"/>
      <c r="L29" s="1057"/>
      <c r="M29" s="1057"/>
    </row>
    <row r="30" spans="1:13" ht="15" x14ac:dyDescent="0.25">
      <c r="A30" s="253">
        <v>20</v>
      </c>
      <c r="B30" s="351" t="s">
        <v>894</v>
      </c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</row>
    <row r="31" spans="1:13" ht="15" x14ac:dyDescent="0.25">
      <c r="A31" s="253">
        <v>21</v>
      </c>
      <c r="B31" s="351" t="s">
        <v>925</v>
      </c>
      <c r="C31" s="1057"/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</row>
    <row r="32" spans="1:13" ht="15" x14ac:dyDescent="0.25">
      <c r="A32" s="253">
        <v>22</v>
      </c>
      <c r="B32" s="351" t="s">
        <v>896</v>
      </c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</row>
    <row r="33" spans="1:13" ht="15" x14ac:dyDescent="0.25">
      <c r="A33" s="253">
        <v>23</v>
      </c>
      <c r="B33" s="351" t="s">
        <v>926</v>
      </c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</row>
    <row r="34" spans="1:13" ht="15" x14ac:dyDescent="0.25">
      <c r="A34" s="253">
        <v>24</v>
      </c>
      <c r="B34" s="351" t="s">
        <v>898</v>
      </c>
      <c r="C34" s="1057"/>
      <c r="D34" s="1057"/>
      <c r="E34" s="1057"/>
      <c r="F34" s="1057"/>
      <c r="G34" s="1057"/>
      <c r="H34" s="1057"/>
      <c r="I34" s="1057"/>
      <c r="J34" s="1057"/>
      <c r="K34" s="1057"/>
      <c r="L34" s="1057"/>
      <c r="M34" s="1057"/>
    </row>
    <row r="35" spans="1:13" ht="12.75" customHeight="1" x14ac:dyDescent="0.2">
      <c r="A35" s="725" t="s">
        <v>15</v>
      </c>
      <c r="B35" s="725"/>
      <c r="C35" s="1057"/>
      <c r="D35" s="1057"/>
      <c r="E35" s="1057"/>
      <c r="F35" s="1057"/>
      <c r="G35" s="1057"/>
      <c r="H35" s="1057"/>
      <c r="I35" s="1057"/>
      <c r="J35" s="1057"/>
      <c r="K35" s="1057"/>
      <c r="L35" s="1057"/>
      <c r="M35" s="1057"/>
    </row>
    <row r="36" spans="1:13" ht="12.75" customHeight="1" x14ac:dyDescent="0.2">
      <c r="A36" s="11"/>
      <c r="B36" s="11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</row>
    <row r="37" spans="1:13" ht="12.75" customHeight="1" x14ac:dyDescent="0.2">
      <c r="A37" s="11"/>
      <c r="B37" s="11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</row>
    <row r="38" spans="1:13" ht="12.75" customHeight="1" x14ac:dyDescent="0.2">
      <c r="A38" s="11"/>
      <c r="B38" s="11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</row>
    <row r="39" spans="1:13" ht="12.75" customHeight="1" x14ac:dyDescent="0.2">
      <c r="A39" s="11"/>
      <c r="B39" s="11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</row>
    <row r="40" spans="1:13" ht="16.5" customHeight="1" x14ac:dyDescent="0.2">
      <c r="A40" s="186"/>
      <c r="B40" s="186"/>
      <c r="C40" s="186"/>
      <c r="D40" s="186"/>
      <c r="E40" s="669"/>
      <c r="F40" s="669"/>
      <c r="I40" s="187"/>
      <c r="J40" s="865" t="s">
        <v>1107</v>
      </c>
      <c r="K40" s="865"/>
      <c r="L40" s="187"/>
      <c r="M40" s="669"/>
    </row>
    <row r="41" spans="1:13" ht="15.75" customHeight="1" x14ac:dyDescent="0.2">
      <c r="A41" s="186"/>
      <c r="B41" s="186"/>
      <c r="C41" s="186"/>
      <c r="D41" s="186"/>
      <c r="E41" s="669"/>
      <c r="F41" s="669"/>
      <c r="G41" s="865" t="s">
        <v>1108</v>
      </c>
      <c r="H41" s="865"/>
      <c r="I41" s="865"/>
      <c r="J41" s="865"/>
      <c r="K41" s="865"/>
      <c r="L41" s="865"/>
      <c r="M41" s="865"/>
    </row>
    <row r="42" spans="1:13" ht="15.75" customHeight="1" x14ac:dyDescent="0.2">
      <c r="A42" s="186"/>
      <c r="B42" s="186"/>
      <c r="C42" s="186"/>
      <c r="D42" s="186"/>
      <c r="E42" s="669"/>
      <c r="F42" s="669"/>
      <c r="G42" s="865" t="s">
        <v>1113</v>
      </c>
      <c r="H42" s="865"/>
      <c r="I42" s="865"/>
      <c r="J42" s="865"/>
      <c r="K42" s="865"/>
      <c r="L42" s="865"/>
      <c r="M42" s="865"/>
    </row>
    <row r="43" spans="1:13" ht="15" customHeight="1" x14ac:dyDescent="0.2">
      <c r="A43" s="186" t="s">
        <v>11</v>
      </c>
      <c r="B43" s="669"/>
      <c r="C43" s="186"/>
      <c r="D43" s="186"/>
      <c r="E43" s="669"/>
      <c r="F43" s="669"/>
      <c r="G43" s="866" t="s">
        <v>1110</v>
      </c>
      <c r="H43" s="866"/>
      <c r="I43" s="188"/>
      <c r="J43" s="188"/>
      <c r="K43" s="188"/>
      <c r="L43" s="188"/>
    </row>
  </sheetData>
  <mergeCells count="16">
    <mergeCell ref="G43:H43"/>
    <mergeCell ref="J40:K40"/>
    <mergeCell ref="G41:M41"/>
    <mergeCell ref="G42:M42"/>
    <mergeCell ref="B2:L2"/>
    <mergeCell ref="A35:B35"/>
    <mergeCell ref="C11:M35"/>
    <mergeCell ref="L1:M1"/>
    <mergeCell ref="C1:I1"/>
    <mergeCell ref="A4:M4"/>
    <mergeCell ref="M6:M9"/>
    <mergeCell ref="A6:A9"/>
    <mergeCell ref="B6:B9"/>
    <mergeCell ref="H5:M5"/>
    <mergeCell ref="C6:G8"/>
    <mergeCell ref="H6:L8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topLeftCell="A16" zoomScale="63" zoomScaleNormal="100" zoomScaleSheetLayoutView="63" workbookViewId="0">
      <selection activeCell="A43" sqref="A43:E46"/>
    </sheetView>
  </sheetViews>
  <sheetFormatPr defaultRowHeight="12.75" x14ac:dyDescent="0.2"/>
  <cols>
    <col min="1" max="1" width="42.5703125" customWidth="1"/>
    <col min="2" max="6" width="27.5703125" customWidth="1"/>
  </cols>
  <sheetData>
    <row r="1" spans="1:12" ht="18" x14ac:dyDescent="0.35">
      <c r="A1" s="867" t="s">
        <v>0</v>
      </c>
      <c r="B1" s="867"/>
      <c r="C1" s="867"/>
      <c r="D1" s="867"/>
      <c r="E1" s="867"/>
      <c r="F1" s="217" t="s">
        <v>525</v>
      </c>
      <c r="G1" s="209"/>
      <c r="H1" s="209"/>
      <c r="I1" s="209"/>
      <c r="J1" s="209"/>
      <c r="K1" s="209"/>
      <c r="L1" s="209"/>
    </row>
    <row r="2" spans="1:12" ht="21" x14ac:dyDescent="0.35">
      <c r="A2" s="868" t="s">
        <v>694</v>
      </c>
      <c r="B2" s="868"/>
      <c r="C2" s="868"/>
      <c r="D2" s="868"/>
      <c r="E2" s="868"/>
      <c r="F2" s="868"/>
      <c r="G2" s="210"/>
      <c r="H2" s="210"/>
      <c r="I2" s="210"/>
      <c r="J2" s="210"/>
      <c r="K2" s="210"/>
      <c r="L2" s="210"/>
    </row>
    <row r="3" spans="1:12" x14ac:dyDescent="0.2">
      <c r="A3" s="153"/>
      <c r="B3" s="153"/>
      <c r="C3" s="153"/>
      <c r="D3" s="153"/>
      <c r="E3" s="153"/>
      <c r="F3" s="153"/>
    </row>
    <row r="4" spans="1:12" ht="18.75" x14ac:dyDescent="0.2">
      <c r="A4" s="1058" t="s">
        <v>524</v>
      </c>
      <c r="B4" s="1058"/>
      <c r="C4" s="1058"/>
      <c r="D4" s="1058"/>
      <c r="E4" s="1058"/>
      <c r="F4" s="1058"/>
      <c r="G4" s="1058"/>
    </row>
    <row r="5" spans="1:12" ht="18.75" x14ac:dyDescent="0.2">
      <c r="A5" s="191" t="s">
        <v>1098</v>
      </c>
      <c r="B5" s="191"/>
      <c r="C5" s="218"/>
      <c r="D5" s="218"/>
      <c r="E5" s="218"/>
      <c r="F5" s="218"/>
      <c r="G5" s="218"/>
    </row>
    <row r="6" spans="1:12" ht="15.75" x14ac:dyDescent="0.25">
      <c r="A6" s="219"/>
      <c r="B6" s="220"/>
      <c r="C6" s="220"/>
      <c r="D6" s="220"/>
      <c r="E6" s="221"/>
      <c r="F6" s="221"/>
    </row>
    <row r="7" spans="1:12" ht="50.25" customHeight="1" x14ac:dyDescent="0.25">
      <c r="A7" s="280" t="s">
        <v>316</v>
      </c>
      <c r="B7" s="426" t="s">
        <v>967</v>
      </c>
      <c r="C7" s="426" t="s">
        <v>968</v>
      </c>
      <c r="D7" s="426" t="s">
        <v>969</v>
      </c>
      <c r="E7" s="221"/>
      <c r="F7" s="221"/>
    </row>
    <row r="8" spans="1:12" ht="50.25" customHeight="1" x14ac:dyDescent="0.25">
      <c r="A8" s="222" t="s">
        <v>317</v>
      </c>
      <c r="B8" s="426" t="s">
        <v>970</v>
      </c>
      <c r="C8" s="426" t="s">
        <v>971</v>
      </c>
      <c r="D8" s="426" t="s">
        <v>972</v>
      </c>
      <c r="E8" s="221"/>
      <c r="F8" s="221"/>
    </row>
    <row r="9" spans="1:12" ht="50.25" customHeight="1" x14ac:dyDescent="0.25">
      <c r="A9" s="222" t="s">
        <v>318</v>
      </c>
      <c r="B9" s="427" t="s">
        <v>313</v>
      </c>
      <c r="C9" s="427" t="s">
        <v>314</v>
      </c>
      <c r="D9" s="427" t="s">
        <v>315</v>
      </c>
      <c r="E9" s="221"/>
      <c r="F9" s="221"/>
    </row>
    <row r="10" spans="1:12" ht="25.5" customHeight="1" x14ac:dyDescent="0.25">
      <c r="A10" s="428" t="s">
        <v>319</v>
      </c>
      <c r="B10" s="426" t="s">
        <v>973</v>
      </c>
      <c r="C10" s="426" t="s">
        <v>973</v>
      </c>
      <c r="D10" s="426" t="s">
        <v>973</v>
      </c>
      <c r="E10" s="221"/>
      <c r="F10" s="221"/>
    </row>
    <row r="11" spans="1:12" ht="25.5" customHeight="1" x14ac:dyDescent="0.25">
      <c r="A11" s="428" t="s">
        <v>320</v>
      </c>
      <c r="B11" s="426" t="s">
        <v>973</v>
      </c>
      <c r="C11" s="426" t="s">
        <v>973</v>
      </c>
      <c r="D11" s="426" t="s">
        <v>973</v>
      </c>
      <c r="E11" s="221"/>
      <c r="F11" s="221"/>
    </row>
    <row r="12" spans="1:12" ht="25.5" customHeight="1" x14ac:dyDescent="0.25">
      <c r="A12" s="428" t="s">
        <v>321</v>
      </c>
      <c r="B12" s="426" t="s">
        <v>973</v>
      </c>
      <c r="C12" s="426" t="s">
        <v>973</v>
      </c>
      <c r="D12" s="426" t="s">
        <v>973</v>
      </c>
      <c r="E12" s="221"/>
      <c r="F12" s="221"/>
    </row>
    <row r="13" spans="1:12" ht="25.5" customHeight="1" x14ac:dyDescent="0.25">
      <c r="A13" s="428" t="s">
        <v>322</v>
      </c>
      <c r="B13" s="426" t="s">
        <v>973</v>
      </c>
      <c r="C13" s="426" t="s">
        <v>973</v>
      </c>
      <c r="D13" s="426" t="s">
        <v>973</v>
      </c>
      <c r="E13" s="221"/>
      <c r="F13" s="221"/>
    </row>
    <row r="14" spans="1:12" ht="25.5" customHeight="1" x14ac:dyDescent="0.25">
      <c r="A14" s="428" t="s">
        <v>323</v>
      </c>
      <c r="B14" s="426" t="s">
        <v>973</v>
      </c>
      <c r="C14" s="426" t="s">
        <v>973</v>
      </c>
      <c r="D14" s="426" t="s">
        <v>973</v>
      </c>
      <c r="E14" s="221"/>
      <c r="F14" s="221"/>
    </row>
    <row r="15" spans="1:12" ht="25.5" customHeight="1" x14ac:dyDescent="0.25">
      <c r="A15" s="428" t="s">
        <v>324</v>
      </c>
      <c r="B15" s="426" t="s">
        <v>973</v>
      </c>
      <c r="C15" s="426" t="s">
        <v>973</v>
      </c>
      <c r="D15" s="426" t="s">
        <v>973</v>
      </c>
      <c r="E15" s="221"/>
      <c r="F15" s="221"/>
    </row>
    <row r="16" spans="1:12" ht="25.5" customHeight="1" x14ac:dyDescent="0.25">
      <c r="A16" s="428" t="s">
        <v>325</v>
      </c>
      <c r="B16" s="426" t="s">
        <v>973</v>
      </c>
      <c r="C16" s="426" t="s">
        <v>973</v>
      </c>
      <c r="D16" s="426" t="s">
        <v>973</v>
      </c>
      <c r="E16" s="221"/>
      <c r="F16" s="221"/>
    </row>
    <row r="17" spans="1:7" ht="25.5" customHeight="1" x14ac:dyDescent="0.25">
      <c r="A17" s="428" t="s">
        <v>326</v>
      </c>
      <c r="B17" s="426" t="s">
        <v>973</v>
      </c>
      <c r="C17" s="426" t="s">
        <v>973</v>
      </c>
      <c r="D17" s="426" t="s">
        <v>973</v>
      </c>
      <c r="E17" s="221"/>
      <c r="F17" s="221"/>
    </row>
    <row r="18" spans="1:7" ht="13.5" customHeight="1" x14ac:dyDescent="0.25">
      <c r="A18" s="223"/>
      <c r="B18" s="224"/>
      <c r="C18" s="224"/>
      <c r="D18" s="224"/>
      <c r="E18" s="221"/>
      <c r="F18" s="221"/>
    </row>
    <row r="19" spans="1:7" ht="13.5" customHeight="1" x14ac:dyDescent="0.2">
      <c r="A19" s="1059" t="s">
        <v>327</v>
      </c>
      <c r="B19" s="1059"/>
      <c r="C19" s="1059"/>
      <c r="D19" s="1059"/>
      <c r="E19" s="1059"/>
      <c r="F19" s="1059"/>
      <c r="G19" s="1059"/>
    </row>
    <row r="20" spans="1:7" ht="15" x14ac:dyDescent="0.25">
      <c r="A20" s="221"/>
      <c r="B20" s="221"/>
      <c r="C20" s="221"/>
      <c r="D20" s="221"/>
      <c r="E20" s="898" t="s">
        <v>772</v>
      </c>
      <c r="F20" s="898"/>
      <c r="G20" s="105"/>
    </row>
    <row r="21" spans="1:7" s="313" customFormat="1" ht="46.15" customHeight="1" x14ac:dyDescent="0.2">
      <c r="A21" s="649" t="s">
        <v>416</v>
      </c>
      <c r="B21" s="649" t="s">
        <v>2</v>
      </c>
      <c r="C21" s="650" t="s">
        <v>328</v>
      </c>
      <c r="D21" s="651" t="s">
        <v>329</v>
      </c>
      <c r="E21" s="649" t="s">
        <v>330</v>
      </c>
      <c r="F21" s="649" t="s">
        <v>331</v>
      </c>
      <c r="G21" s="652"/>
    </row>
    <row r="22" spans="1:7" ht="15" customHeight="1" x14ac:dyDescent="0.2">
      <c r="A22" s="222" t="s">
        <v>332</v>
      </c>
      <c r="B22" s="1060" t="s">
        <v>974</v>
      </c>
      <c r="C22" s="1061"/>
      <c r="D22" s="1061"/>
      <c r="E22" s="1061"/>
      <c r="F22" s="1062"/>
    </row>
    <row r="23" spans="1:7" ht="15" customHeight="1" x14ac:dyDescent="0.2">
      <c r="A23" s="222" t="s">
        <v>333</v>
      </c>
      <c r="B23" s="1063"/>
      <c r="C23" s="1064"/>
      <c r="D23" s="1064"/>
      <c r="E23" s="1064"/>
      <c r="F23" s="1065"/>
    </row>
    <row r="24" spans="1:7" ht="15" customHeight="1" x14ac:dyDescent="0.2">
      <c r="A24" s="222" t="s">
        <v>334</v>
      </c>
      <c r="B24" s="1063"/>
      <c r="C24" s="1064"/>
      <c r="D24" s="1064"/>
      <c r="E24" s="1064"/>
      <c r="F24" s="1065"/>
    </row>
    <row r="25" spans="1:7" x14ac:dyDescent="0.2">
      <c r="A25" s="222" t="s">
        <v>335</v>
      </c>
      <c r="B25" s="1063"/>
      <c r="C25" s="1064"/>
      <c r="D25" s="1064"/>
      <c r="E25" s="1064"/>
      <c r="F25" s="1065"/>
    </row>
    <row r="26" spans="1:7" ht="32.25" customHeight="1" x14ac:dyDescent="0.2">
      <c r="A26" s="222" t="s">
        <v>336</v>
      </c>
      <c r="B26" s="1063"/>
      <c r="C26" s="1064"/>
      <c r="D26" s="1064"/>
      <c r="E26" s="1064"/>
      <c r="F26" s="1065"/>
    </row>
    <row r="27" spans="1:7" ht="15" customHeight="1" x14ac:dyDescent="0.2">
      <c r="A27" s="222" t="s">
        <v>337</v>
      </c>
      <c r="B27" s="1063"/>
      <c r="C27" s="1064"/>
      <c r="D27" s="1064"/>
      <c r="E27" s="1064"/>
      <c r="F27" s="1065"/>
    </row>
    <row r="28" spans="1:7" ht="15" customHeight="1" x14ac:dyDescent="0.2">
      <c r="A28" s="222" t="s">
        <v>338</v>
      </c>
      <c r="B28" s="1063"/>
      <c r="C28" s="1064"/>
      <c r="D28" s="1064"/>
      <c r="E28" s="1064"/>
      <c r="F28" s="1065"/>
    </row>
    <row r="29" spans="1:7" ht="15" customHeight="1" x14ac:dyDescent="0.2">
      <c r="A29" s="222" t="s">
        <v>339</v>
      </c>
      <c r="B29" s="1063"/>
      <c r="C29" s="1064"/>
      <c r="D29" s="1064"/>
      <c r="E29" s="1064"/>
      <c r="F29" s="1065"/>
    </row>
    <row r="30" spans="1:7" ht="15" customHeight="1" x14ac:dyDescent="0.2">
      <c r="A30" s="222" t="s">
        <v>340</v>
      </c>
      <c r="B30" s="1063"/>
      <c r="C30" s="1064"/>
      <c r="D30" s="1064"/>
      <c r="E30" s="1064"/>
      <c r="F30" s="1065"/>
    </row>
    <row r="31" spans="1:7" ht="15" customHeight="1" x14ac:dyDescent="0.2">
      <c r="A31" s="222" t="s">
        <v>341</v>
      </c>
      <c r="B31" s="1063"/>
      <c r="C31" s="1064"/>
      <c r="D31" s="1064"/>
      <c r="E31" s="1064"/>
      <c r="F31" s="1065"/>
    </row>
    <row r="32" spans="1:7" ht="15" customHeight="1" x14ac:dyDescent="0.2">
      <c r="A32" s="222" t="s">
        <v>342</v>
      </c>
      <c r="B32" s="1063"/>
      <c r="C32" s="1064"/>
      <c r="D32" s="1064"/>
      <c r="E32" s="1064"/>
      <c r="F32" s="1065"/>
    </row>
    <row r="33" spans="1:7" ht="15" customHeight="1" x14ac:dyDescent="0.2">
      <c r="A33" s="222" t="s">
        <v>343</v>
      </c>
      <c r="B33" s="1063"/>
      <c r="C33" s="1064"/>
      <c r="D33" s="1064"/>
      <c r="E33" s="1064"/>
      <c r="F33" s="1065"/>
    </row>
    <row r="34" spans="1:7" ht="15" customHeight="1" x14ac:dyDescent="0.2">
      <c r="A34" s="222" t="s">
        <v>344</v>
      </c>
      <c r="B34" s="1063"/>
      <c r="C34" s="1064"/>
      <c r="D34" s="1064"/>
      <c r="E34" s="1064"/>
      <c r="F34" s="1065"/>
    </row>
    <row r="35" spans="1:7" ht="15" customHeight="1" x14ac:dyDescent="0.2">
      <c r="A35" s="222" t="s">
        <v>345</v>
      </c>
      <c r="B35" s="1063"/>
      <c r="C35" s="1064"/>
      <c r="D35" s="1064"/>
      <c r="E35" s="1064"/>
      <c r="F35" s="1065"/>
    </row>
    <row r="36" spans="1:7" ht="15" customHeight="1" x14ac:dyDescent="0.2">
      <c r="A36" s="222" t="s">
        <v>346</v>
      </c>
      <c r="B36" s="1063"/>
      <c r="C36" s="1064"/>
      <c r="D36" s="1064"/>
      <c r="E36" s="1064"/>
      <c r="F36" s="1065"/>
    </row>
    <row r="37" spans="1:7" ht="15" customHeight="1" x14ac:dyDescent="0.2">
      <c r="A37" s="222" t="s">
        <v>347</v>
      </c>
      <c r="B37" s="1063"/>
      <c r="C37" s="1064"/>
      <c r="D37" s="1064"/>
      <c r="E37" s="1064"/>
      <c r="F37" s="1065"/>
    </row>
    <row r="38" spans="1:7" ht="15" customHeight="1" x14ac:dyDescent="0.2">
      <c r="A38" s="222" t="s">
        <v>43</v>
      </c>
      <c r="B38" s="1063"/>
      <c r="C38" s="1064"/>
      <c r="D38" s="1064"/>
      <c r="E38" s="1064"/>
      <c r="F38" s="1065"/>
    </row>
    <row r="39" spans="1:7" ht="15" customHeight="1" x14ac:dyDescent="0.2">
      <c r="A39" s="225" t="s">
        <v>15</v>
      </c>
      <c r="B39" s="1066"/>
      <c r="C39" s="1067"/>
      <c r="D39" s="1067"/>
      <c r="E39" s="1067"/>
      <c r="F39" s="1068"/>
    </row>
    <row r="43" spans="1:7" x14ac:dyDescent="0.2">
      <c r="D43" s="865" t="s">
        <v>1107</v>
      </c>
      <c r="E43" s="865"/>
    </row>
    <row r="44" spans="1:7" x14ac:dyDescent="0.2">
      <c r="D44" s="865" t="s">
        <v>1108</v>
      </c>
      <c r="E44" s="865"/>
    </row>
    <row r="45" spans="1:7" x14ac:dyDescent="0.2">
      <c r="D45" s="865" t="s">
        <v>1113</v>
      </c>
      <c r="E45" s="865"/>
    </row>
    <row r="46" spans="1:7" x14ac:dyDescent="0.2">
      <c r="A46" t="s">
        <v>11</v>
      </c>
      <c r="B46" s="669"/>
      <c r="D46" t="s">
        <v>1110</v>
      </c>
      <c r="F46" s="567"/>
    </row>
    <row r="47" spans="1:7" ht="15" customHeight="1" x14ac:dyDescent="0.2">
      <c r="A47" s="566"/>
      <c r="B47" s="567"/>
      <c r="C47" s="566"/>
      <c r="D47" s="567"/>
      <c r="E47" s="567"/>
      <c r="F47" s="567"/>
      <c r="G47" s="187"/>
    </row>
    <row r="48" spans="1:7" ht="15" customHeight="1" x14ac:dyDescent="0.2">
      <c r="A48" s="566"/>
      <c r="B48" s="567"/>
      <c r="C48" s="566"/>
      <c r="D48" s="567"/>
      <c r="E48" s="567"/>
      <c r="F48" s="567"/>
      <c r="G48" s="187"/>
    </row>
  </sheetData>
  <mergeCells count="9">
    <mergeCell ref="D44:E44"/>
    <mergeCell ref="D45:E45"/>
    <mergeCell ref="D43:E43"/>
    <mergeCell ref="A1:E1"/>
    <mergeCell ref="A2:F2"/>
    <mergeCell ref="A4:G4"/>
    <mergeCell ref="A19:G19"/>
    <mergeCell ref="E20:F20"/>
    <mergeCell ref="B22:F39"/>
  </mergeCells>
  <printOptions horizontalCentered="1"/>
  <pageMargins left="0.70866141732283472" right="0.70866141732283472" top="0.23622047244094491" bottom="0" header="0.31496062992125984" footer="0.31496062992125984"/>
  <pageSetup paperSize="9" scale="61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Normal="100" zoomScaleSheetLayoutView="90" workbookViewId="0">
      <selection activeCell="E41" sqref="E41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1069" t="s">
        <v>698</v>
      </c>
      <c r="C4" s="1069"/>
      <c r="D4" s="1069"/>
      <c r="E4" s="1069"/>
      <c r="F4" s="1069"/>
      <c r="G4" s="1069"/>
      <c r="H4" s="1069"/>
    </row>
    <row r="5" spans="2:8" ht="12.75" customHeight="1" x14ac:dyDescent="0.2">
      <c r="B5" s="1069"/>
      <c r="C5" s="1069"/>
      <c r="D5" s="1069"/>
      <c r="E5" s="1069"/>
      <c r="F5" s="1069"/>
      <c r="G5" s="1069"/>
      <c r="H5" s="1069"/>
    </row>
    <row r="6" spans="2:8" ht="12.75" customHeight="1" x14ac:dyDescent="0.2">
      <c r="B6" s="1069"/>
      <c r="C6" s="1069"/>
      <c r="D6" s="1069"/>
      <c r="E6" s="1069"/>
      <c r="F6" s="1069"/>
      <c r="G6" s="1069"/>
      <c r="H6" s="1069"/>
    </row>
    <row r="7" spans="2:8" ht="12.75" customHeight="1" x14ac:dyDescent="0.2">
      <c r="B7" s="1069"/>
      <c r="C7" s="1069"/>
      <c r="D7" s="1069"/>
      <c r="E7" s="1069"/>
      <c r="F7" s="1069"/>
      <c r="G7" s="1069"/>
      <c r="H7" s="1069"/>
    </row>
    <row r="8" spans="2:8" ht="12.75" customHeight="1" x14ac:dyDescent="0.2">
      <c r="B8" s="1069"/>
      <c r="C8" s="1069"/>
      <c r="D8" s="1069"/>
      <c r="E8" s="1069"/>
      <c r="F8" s="1069"/>
      <c r="G8" s="1069"/>
      <c r="H8" s="1069"/>
    </row>
    <row r="9" spans="2:8" ht="12.75" customHeight="1" x14ac:dyDescent="0.2">
      <c r="B9" s="1069"/>
      <c r="C9" s="1069"/>
      <c r="D9" s="1069"/>
      <c r="E9" s="1069"/>
      <c r="F9" s="1069"/>
      <c r="G9" s="1069"/>
      <c r="H9" s="1069"/>
    </row>
    <row r="10" spans="2:8" ht="12.75" customHeight="1" x14ac:dyDescent="0.2">
      <c r="B10" s="1069"/>
      <c r="C10" s="1069"/>
      <c r="D10" s="1069"/>
      <c r="E10" s="1069"/>
      <c r="F10" s="1069"/>
      <c r="G10" s="1069"/>
      <c r="H10" s="1069"/>
    </row>
    <row r="11" spans="2:8" ht="12.75" customHeight="1" x14ac:dyDescent="0.2">
      <c r="B11" s="1069"/>
      <c r="C11" s="1069"/>
      <c r="D11" s="1069"/>
      <c r="E11" s="1069"/>
      <c r="F11" s="1069"/>
      <c r="G11" s="1069"/>
      <c r="H11" s="1069"/>
    </row>
    <row r="12" spans="2:8" ht="12.75" customHeight="1" x14ac:dyDescent="0.2">
      <c r="B12" s="1069"/>
      <c r="C12" s="1069"/>
      <c r="D12" s="1069"/>
      <c r="E12" s="1069"/>
      <c r="F12" s="1069"/>
      <c r="G12" s="1069"/>
      <c r="H12" s="1069"/>
    </row>
    <row r="13" spans="2:8" ht="12.75" customHeight="1" x14ac:dyDescent="0.2">
      <c r="B13" s="1069"/>
      <c r="C13" s="1069"/>
      <c r="D13" s="1069"/>
      <c r="E13" s="1069"/>
      <c r="F13" s="1069"/>
      <c r="G13" s="1069"/>
      <c r="H13" s="1069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topLeftCell="A7" zoomScaleNormal="90" zoomScaleSheetLayoutView="100" workbookViewId="0">
      <selection activeCell="N18" sqref="N18"/>
    </sheetView>
  </sheetViews>
  <sheetFormatPr defaultRowHeight="14.25" x14ac:dyDescent="0.2"/>
  <cols>
    <col min="1" max="1" width="4.7109375" style="45" customWidth="1"/>
    <col min="2" max="2" width="16.85546875" style="45" customWidth="1"/>
    <col min="3" max="3" width="11.7109375" style="45" customWidth="1"/>
    <col min="4" max="4" width="12" style="45" customWidth="1"/>
    <col min="5" max="5" width="12.140625" style="45" customWidth="1"/>
    <col min="6" max="6" width="17.42578125" style="45" customWidth="1"/>
    <col min="7" max="7" width="12.42578125" style="45" customWidth="1"/>
    <col min="8" max="8" width="16" style="45" customWidth="1"/>
    <col min="9" max="9" width="12.7109375" style="45" customWidth="1"/>
    <col min="10" max="10" width="15" style="45" customWidth="1"/>
    <col min="11" max="11" width="16" style="45" customWidth="1"/>
    <col min="12" max="12" width="11.85546875" style="45" customWidth="1"/>
    <col min="13" max="16384" width="9.140625" style="45"/>
  </cols>
  <sheetData>
    <row r="1" spans="1:20" ht="15" customHeight="1" x14ac:dyDescent="0.25">
      <c r="C1" s="723"/>
      <c r="D1" s="723"/>
      <c r="E1" s="723"/>
      <c r="F1" s="723"/>
      <c r="G1" s="723"/>
      <c r="H1" s="723"/>
      <c r="I1" s="156"/>
      <c r="J1" s="924" t="s">
        <v>526</v>
      </c>
      <c r="K1" s="924"/>
    </row>
    <row r="2" spans="1:20" s="50" customFormat="1" ht="19.5" customHeight="1" x14ac:dyDescent="0.2">
      <c r="A2" s="1080" t="s">
        <v>0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</row>
    <row r="3" spans="1:20" s="50" customFormat="1" ht="19.5" customHeight="1" x14ac:dyDescent="0.2">
      <c r="A3" s="1079" t="s">
        <v>694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</row>
    <row r="4" spans="1:20" s="50" customFormat="1" ht="14.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20" s="50" customFormat="1" ht="18" customHeight="1" x14ac:dyDescent="0.2">
      <c r="A5" s="985" t="s">
        <v>699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</row>
    <row r="6" spans="1:20" ht="15.75" x14ac:dyDescent="0.25">
      <c r="A6" s="191" t="s">
        <v>1098</v>
      </c>
      <c r="B6" s="191"/>
      <c r="C6" s="100"/>
      <c r="D6" s="100"/>
      <c r="E6" s="100"/>
      <c r="F6" s="100"/>
      <c r="G6" s="100"/>
      <c r="H6" s="100"/>
      <c r="I6" s="100"/>
      <c r="J6" s="100"/>
      <c r="K6" s="100"/>
    </row>
    <row r="7" spans="1:20" ht="29.25" customHeight="1" x14ac:dyDescent="0.2">
      <c r="A7" s="1071" t="s">
        <v>70</v>
      </c>
      <c r="B7" s="1071" t="s">
        <v>71</v>
      </c>
      <c r="C7" s="1071" t="s">
        <v>72</v>
      </c>
      <c r="D7" s="1071" t="s">
        <v>149</v>
      </c>
      <c r="E7" s="1071"/>
      <c r="F7" s="1071"/>
      <c r="G7" s="1071"/>
      <c r="H7" s="1071"/>
      <c r="I7" s="1074" t="s">
        <v>230</v>
      </c>
      <c r="J7" s="1071" t="s">
        <v>73</v>
      </c>
      <c r="K7" s="1071" t="s">
        <v>471</v>
      </c>
      <c r="L7" s="1070" t="s">
        <v>74</v>
      </c>
      <c r="S7" s="49"/>
      <c r="T7" s="49"/>
    </row>
    <row r="8" spans="1:20" ht="33.75" customHeight="1" x14ac:dyDescent="0.2">
      <c r="A8" s="1071"/>
      <c r="B8" s="1071"/>
      <c r="C8" s="1071"/>
      <c r="D8" s="1071" t="s">
        <v>75</v>
      </c>
      <c r="E8" s="1071" t="s">
        <v>76</v>
      </c>
      <c r="F8" s="1071"/>
      <c r="G8" s="1071"/>
      <c r="H8" s="46" t="s">
        <v>77</v>
      </c>
      <c r="I8" s="1075"/>
      <c r="J8" s="1071"/>
      <c r="K8" s="1071"/>
      <c r="L8" s="1070"/>
    </row>
    <row r="9" spans="1:20" ht="30" x14ac:dyDescent="0.2">
      <c r="A9" s="1071"/>
      <c r="B9" s="1071"/>
      <c r="C9" s="1071"/>
      <c r="D9" s="1071"/>
      <c r="E9" s="46" t="s">
        <v>78</v>
      </c>
      <c r="F9" s="46" t="s">
        <v>79</v>
      </c>
      <c r="G9" s="46" t="s">
        <v>15</v>
      </c>
      <c r="H9" s="46"/>
      <c r="I9" s="1076"/>
      <c r="J9" s="1071"/>
      <c r="K9" s="1071"/>
      <c r="L9" s="1070"/>
    </row>
    <row r="10" spans="1:20" s="143" customFormat="1" ht="17.100000000000001" customHeight="1" x14ac:dyDescent="0.2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</row>
    <row r="11" spans="1:20" ht="17.100000000000001" customHeight="1" x14ac:dyDescent="0.2">
      <c r="A11" s="52">
        <v>1</v>
      </c>
      <c r="B11" s="53" t="s">
        <v>793</v>
      </c>
      <c r="C11" s="52">
        <v>30</v>
      </c>
      <c r="D11" s="52">
        <v>0</v>
      </c>
      <c r="E11" s="52">
        <v>4</v>
      </c>
      <c r="F11" s="52">
        <v>5</v>
      </c>
      <c r="G11" s="52">
        <f>SUM(E11:F11)</f>
        <v>9</v>
      </c>
      <c r="H11" s="52">
        <f>D11+G11</f>
        <v>9</v>
      </c>
      <c r="I11" s="52">
        <f>C11-H11</f>
        <v>21</v>
      </c>
      <c r="J11" s="52">
        <f>C11-H11</f>
        <v>21</v>
      </c>
      <c r="K11" s="52">
        <f>C11-D11-E11</f>
        <v>26</v>
      </c>
      <c r="L11" s="47"/>
    </row>
    <row r="12" spans="1:20" ht="17.100000000000001" customHeight="1" x14ac:dyDescent="0.2">
      <c r="A12" s="52">
        <v>2</v>
      </c>
      <c r="B12" s="53" t="s">
        <v>794</v>
      </c>
      <c r="C12" s="52">
        <v>31</v>
      </c>
      <c r="D12" s="52">
        <v>0</v>
      </c>
      <c r="E12" s="52">
        <v>4</v>
      </c>
      <c r="F12" s="52">
        <v>12</v>
      </c>
      <c r="G12" s="52">
        <f t="shared" ref="G12:G22" si="0">SUM(E12:F12)</f>
        <v>16</v>
      </c>
      <c r="H12" s="52">
        <f t="shared" ref="H12:H22" si="1">D12+G12</f>
        <v>16</v>
      </c>
      <c r="I12" s="52">
        <f t="shared" ref="I12:I22" si="2">C12-H12</f>
        <v>15</v>
      </c>
      <c r="J12" s="52">
        <f t="shared" ref="J12:J22" si="3">C12-H12</f>
        <v>15</v>
      </c>
      <c r="K12" s="52">
        <f t="shared" ref="K12:K22" si="4">C12-D12-E12</f>
        <v>27</v>
      </c>
      <c r="L12" s="47"/>
    </row>
    <row r="13" spans="1:20" ht="17.100000000000001" customHeight="1" x14ac:dyDescent="0.2">
      <c r="A13" s="52">
        <v>3</v>
      </c>
      <c r="B13" s="53" t="s">
        <v>795</v>
      </c>
      <c r="C13" s="52">
        <v>30</v>
      </c>
      <c r="D13" s="52">
        <v>0</v>
      </c>
      <c r="E13" s="52">
        <v>5</v>
      </c>
      <c r="F13" s="52">
        <v>10</v>
      </c>
      <c r="G13" s="52">
        <f t="shared" si="0"/>
        <v>15</v>
      </c>
      <c r="H13" s="52">
        <f t="shared" si="1"/>
        <v>15</v>
      </c>
      <c r="I13" s="52">
        <f t="shared" si="2"/>
        <v>15</v>
      </c>
      <c r="J13" s="52">
        <f t="shared" si="3"/>
        <v>15</v>
      </c>
      <c r="K13" s="52">
        <f t="shared" si="4"/>
        <v>25</v>
      </c>
      <c r="L13" s="47"/>
    </row>
    <row r="14" spans="1:20" ht="17.100000000000001" customHeight="1" x14ac:dyDescent="0.2">
      <c r="A14" s="52">
        <v>4</v>
      </c>
      <c r="B14" s="53" t="s">
        <v>796</v>
      </c>
      <c r="C14" s="52">
        <v>31</v>
      </c>
      <c r="D14" s="52">
        <v>0</v>
      </c>
      <c r="E14" s="52">
        <v>4</v>
      </c>
      <c r="F14" s="52">
        <v>1</v>
      </c>
      <c r="G14" s="52">
        <f t="shared" si="0"/>
        <v>5</v>
      </c>
      <c r="H14" s="52">
        <f t="shared" si="1"/>
        <v>5</v>
      </c>
      <c r="I14" s="52">
        <f t="shared" si="2"/>
        <v>26</v>
      </c>
      <c r="J14" s="52">
        <f t="shared" si="3"/>
        <v>26</v>
      </c>
      <c r="K14" s="52">
        <f t="shared" si="4"/>
        <v>27</v>
      </c>
      <c r="L14" s="47"/>
    </row>
    <row r="15" spans="1:20" ht="17.100000000000001" customHeight="1" x14ac:dyDescent="0.2">
      <c r="A15" s="52">
        <v>5</v>
      </c>
      <c r="B15" s="53" t="s">
        <v>797</v>
      </c>
      <c r="C15" s="52">
        <v>31</v>
      </c>
      <c r="D15" s="52">
        <v>1</v>
      </c>
      <c r="E15" s="52">
        <v>4</v>
      </c>
      <c r="F15" s="52">
        <v>2</v>
      </c>
      <c r="G15" s="52">
        <f t="shared" si="0"/>
        <v>6</v>
      </c>
      <c r="H15" s="52">
        <f t="shared" si="1"/>
        <v>7</v>
      </c>
      <c r="I15" s="52">
        <f t="shared" si="2"/>
        <v>24</v>
      </c>
      <c r="J15" s="52">
        <f t="shared" si="3"/>
        <v>24</v>
      </c>
      <c r="K15" s="52">
        <f t="shared" si="4"/>
        <v>26</v>
      </c>
      <c r="L15" s="47"/>
    </row>
    <row r="16" spans="1:20" s="51" customFormat="1" ht="17.100000000000001" customHeight="1" x14ac:dyDescent="0.2">
      <c r="A16" s="52">
        <v>6</v>
      </c>
      <c r="B16" s="53" t="s">
        <v>798</v>
      </c>
      <c r="C16" s="52">
        <v>30</v>
      </c>
      <c r="D16" s="52">
        <v>0</v>
      </c>
      <c r="E16" s="52">
        <v>5</v>
      </c>
      <c r="F16" s="52">
        <v>2</v>
      </c>
      <c r="G16" s="52">
        <f t="shared" si="0"/>
        <v>7</v>
      </c>
      <c r="H16" s="52">
        <f t="shared" si="1"/>
        <v>7</v>
      </c>
      <c r="I16" s="52">
        <f t="shared" si="2"/>
        <v>23</v>
      </c>
      <c r="J16" s="52">
        <f t="shared" si="3"/>
        <v>23</v>
      </c>
      <c r="K16" s="52">
        <v>26</v>
      </c>
      <c r="L16" s="53"/>
    </row>
    <row r="17" spans="1:12" s="51" customFormat="1" ht="17.100000000000001" customHeight="1" x14ac:dyDescent="0.2">
      <c r="A17" s="52">
        <v>7</v>
      </c>
      <c r="B17" s="53" t="s">
        <v>799</v>
      </c>
      <c r="C17" s="52">
        <v>31</v>
      </c>
      <c r="D17" s="52">
        <v>1</v>
      </c>
      <c r="E17" s="52">
        <v>4</v>
      </c>
      <c r="F17" s="52">
        <v>10</v>
      </c>
      <c r="G17" s="52">
        <f t="shared" si="0"/>
        <v>14</v>
      </c>
      <c r="H17" s="52">
        <f t="shared" si="1"/>
        <v>15</v>
      </c>
      <c r="I17" s="52">
        <f t="shared" si="2"/>
        <v>16</v>
      </c>
      <c r="J17" s="52">
        <f t="shared" si="3"/>
        <v>16</v>
      </c>
      <c r="K17" s="52">
        <f t="shared" si="4"/>
        <v>26</v>
      </c>
      <c r="L17" s="53"/>
    </row>
    <row r="18" spans="1:12" s="51" customFormat="1" ht="17.100000000000001" customHeight="1" x14ac:dyDescent="0.2">
      <c r="A18" s="52">
        <v>8</v>
      </c>
      <c r="B18" s="53" t="s">
        <v>800</v>
      </c>
      <c r="C18" s="52">
        <v>30</v>
      </c>
      <c r="D18" s="52">
        <v>0</v>
      </c>
      <c r="E18" s="52">
        <v>4</v>
      </c>
      <c r="F18" s="52">
        <v>3</v>
      </c>
      <c r="G18" s="52">
        <f t="shared" si="0"/>
        <v>7</v>
      </c>
      <c r="H18" s="52">
        <f t="shared" si="1"/>
        <v>7</v>
      </c>
      <c r="I18" s="52">
        <f t="shared" si="2"/>
        <v>23</v>
      </c>
      <c r="J18" s="52">
        <f t="shared" si="3"/>
        <v>23</v>
      </c>
      <c r="K18" s="52">
        <f t="shared" si="4"/>
        <v>26</v>
      </c>
      <c r="L18" s="53"/>
    </row>
    <row r="19" spans="1:12" s="51" customFormat="1" ht="17.100000000000001" customHeight="1" x14ac:dyDescent="0.2">
      <c r="A19" s="52">
        <v>9</v>
      </c>
      <c r="B19" s="53" t="s">
        <v>801</v>
      </c>
      <c r="C19" s="52">
        <v>31</v>
      </c>
      <c r="D19" s="52">
        <v>0</v>
      </c>
      <c r="E19" s="52">
        <v>5</v>
      </c>
      <c r="F19" s="52">
        <v>5</v>
      </c>
      <c r="G19" s="52">
        <f t="shared" si="0"/>
        <v>10</v>
      </c>
      <c r="H19" s="52">
        <f t="shared" si="1"/>
        <v>10</v>
      </c>
      <c r="I19" s="52">
        <f t="shared" si="2"/>
        <v>21</v>
      </c>
      <c r="J19" s="52">
        <f t="shared" si="3"/>
        <v>21</v>
      </c>
      <c r="K19" s="52">
        <f t="shared" si="4"/>
        <v>26</v>
      </c>
      <c r="L19" s="53"/>
    </row>
    <row r="20" spans="1:12" s="51" customFormat="1" ht="17.100000000000001" customHeight="1" x14ac:dyDescent="0.2">
      <c r="A20" s="52">
        <v>10</v>
      </c>
      <c r="B20" s="53" t="s">
        <v>802</v>
      </c>
      <c r="C20" s="52">
        <v>31</v>
      </c>
      <c r="D20" s="52">
        <v>1</v>
      </c>
      <c r="E20" s="52">
        <v>4</v>
      </c>
      <c r="F20" s="52">
        <v>3</v>
      </c>
      <c r="G20" s="52">
        <f t="shared" si="0"/>
        <v>7</v>
      </c>
      <c r="H20" s="52">
        <f t="shared" si="1"/>
        <v>8</v>
      </c>
      <c r="I20" s="52">
        <f t="shared" si="2"/>
        <v>23</v>
      </c>
      <c r="J20" s="52">
        <f t="shared" si="3"/>
        <v>23</v>
      </c>
      <c r="K20" s="52">
        <f t="shared" si="4"/>
        <v>26</v>
      </c>
      <c r="L20" s="53"/>
    </row>
    <row r="21" spans="1:12" s="51" customFormat="1" ht="17.100000000000001" customHeight="1" x14ac:dyDescent="0.2">
      <c r="A21" s="52">
        <v>11</v>
      </c>
      <c r="B21" s="53" t="s">
        <v>803</v>
      </c>
      <c r="C21" s="52">
        <v>29</v>
      </c>
      <c r="D21" s="52">
        <v>0</v>
      </c>
      <c r="E21" s="52">
        <v>4</v>
      </c>
      <c r="F21" s="52">
        <v>1</v>
      </c>
      <c r="G21" s="52">
        <f t="shared" si="0"/>
        <v>5</v>
      </c>
      <c r="H21" s="52">
        <f t="shared" si="1"/>
        <v>5</v>
      </c>
      <c r="I21" s="52">
        <f t="shared" si="2"/>
        <v>24</v>
      </c>
      <c r="J21" s="52">
        <f t="shared" si="3"/>
        <v>24</v>
      </c>
      <c r="K21" s="52">
        <f t="shared" si="4"/>
        <v>25</v>
      </c>
      <c r="L21" s="53"/>
    </row>
    <row r="22" spans="1:12" s="51" customFormat="1" ht="17.100000000000001" customHeight="1" x14ac:dyDescent="0.2">
      <c r="A22" s="52">
        <v>12</v>
      </c>
      <c r="B22" s="53" t="s">
        <v>804</v>
      </c>
      <c r="C22" s="52">
        <v>31</v>
      </c>
      <c r="D22" s="52">
        <v>0</v>
      </c>
      <c r="E22" s="52">
        <v>5</v>
      </c>
      <c r="F22" s="52">
        <v>3</v>
      </c>
      <c r="G22" s="52">
        <f t="shared" si="0"/>
        <v>8</v>
      </c>
      <c r="H22" s="52">
        <f t="shared" si="1"/>
        <v>8</v>
      </c>
      <c r="I22" s="52">
        <f t="shared" si="2"/>
        <v>23</v>
      </c>
      <c r="J22" s="52">
        <f t="shared" si="3"/>
        <v>23</v>
      </c>
      <c r="K22" s="52">
        <f t="shared" si="4"/>
        <v>26</v>
      </c>
      <c r="L22" s="53"/>
    </row>
    <row r="23" spans="1:12" s="434" customFormat="1" ht="17.100000000000001" customHeight="1" x14ac:dyDescent="0.2">
      <c r="A23" s="1077" t="s">
        <v>15</v>
      </c>
      <c r="B23" s="1078"/>
      <c r="C23" s="46">
        <f t="shared" ref="C23:K23" si="5">SUM(C11:C22)</f>
        <v>366</v>
      </c>
      <c r="D23" s="46">
        <f t="shared" si="5"/>
        <v>3</v>
      </c>
      <c r="E23" s="46">
        <f t="shared" si="5"/>
        <v>52</v>
      </c>
      <c r="F23" s="46">
        <f t="shared" si="5"/>
        <v>57</v>
      </c>
      <c r="G23" s="46">
        <f t="shared" si="5"/>
        <v>109</v>
      </c>
      <c r="H23" s="46">
        <f t="shared" si="5"/>
        <v>112</v>
      </c>
      <c r="I23" s="46">
        <f t="shared" si="5"/>
        <v>254</v>
      </c>
      <c r="J23" s="46">
        <f t="shared" si="5"/>
        <v>254</v>
      </c>
      <c r="K23" s="46">
        <f t="shared" si="5"/>
        <v>312</v>
      </c>
      <c r="L23" s="54"/>
    </row>
    <row r="24" spans="1:12" s="51" customFormat="1" ht="11.25" customHeight="1" x14ac:dyDescent="0.2">
      <c r="A24" s="55"/>
      <c r="B24" s="56"/>
      <c r="C24" s="57"/>
      <c r="D24" s="55"/>
      <c r="E24" s="55"/>
      <c r="F24" s="55"/>
      <c r="G24" s="55"/>
      <c r="H24" s="55"/>
      <c r="I24" s="55"/>
      <c r="J24" s="55"/>
      <c r="K24" s="55"/>
    </row>
    <row r="25" spans="1:12" ht="15" x14ac:dyDescent="0.25">
      <c r="A25" s="48" t="s">
        <v>101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2" ht="1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2" ht="15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2" ht="15" x14ac:dyDescent="0.25">
      <c r="A28" s="683" t="s">
        <v>11</v>
      </c>
      <c r="B28" s="683"/>
      <c r="C28" s="683"/>
      <c r="D28" s="683"/>
      <c r="E28" s="683"/>
      <c r="F28" s="683"/>
      <c r="G28" s="683"/>
      <c r="H28" s="683"/>
      <c r="I28" s="683"/>
      <c r="J28" s="1072" t="s">
        <v>1107</v>
      </c>
      <c r="K28" s="1072"/>
    </row>
    <row r="29" spans="1:12" ht="15" x14ac:dyDescent="0.2">
      <c r="A29" s="1073" t="s">
        <v>1108</v>
      </c>
      <c r="B29" s="1073"/>
      <c r="C29" s="1073"/>
      <c r="D29" s="1073"/>
      <c r="E29" s="1073"/>
      <c r="F29" s="1073"/>
      <c r="G29" s="1073"/>
      <c r="H29" s="1073"/>
      <c r="I29" s="1073"/>
      <c r="J29" s="1073"/>
      <c r="K29" s="1073"/>
      <c r="L29" s="567"/>
    </row>
    <row r="30" spans="1:12" ht="15" x14ac:dyDescent="0.2">
      <c r="A30" s="1073" t="s">
        <v>1111</v>
      </c>
      <c r="B30" s="1073"/>
      <c r="C30" s="1073"/>
      <c r="D30" s="1073"/>
      <c r="E30" s="1073"/>
      <c r="F30" s="1073"/>
      <c r="G30" s="1073"/>
      <c r="H30" s="1073"/>
      <c r="I30" s="1073"/>
      <c r="J30" s="1073"/>
      <c r="K30" s="1073"/>
      <c r="L30" s="567"/>
    </row>
    <row r="31" spans="1:12" ht="15" x14ac:dyDescent="0.25">
      <c r="A31" s="683"/>
      <c r="B31" s="683"/>
      <c r="C31" s="683"/>
      <c r="D31" s="683"/>
      <c r="E31" s="683"/>
      <c r="F31" s="683"/>
      <c r="G31" s="683"/>
      <c r="H31"/>
      <c r="I31" s="683" t="s">
        <v>1110</v>
      </c>
      <c r="J31" s="683"/>
      <c r="K31" s="683"/>
      <c r="L31" s="567"/>
    </row>
  </sheetData>
  <mergeCells count="19">
    <mergeCell ref="J28:K28"/>
    <mergeCell ref="A29:K29"/>
    <mergeCell ref="A30:K30"/>
    <mergeCell ref="I7:I9"/>
    <mergeCell ref="A23:B23"/>
    <mergeCell ref="C1:H1"/>
    <mergeCell ref="J1:K1"/>
    <mergeCell ref="A3:K3"/>
    <mergeCell ref="A2:K2"/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A16" zoomScaleNormal="100" zoomScaleSheetLayoutView="100" workbookViewId="0">
      <selection activeCell="A29" sqref="A29:K32"/>
    </sheetView>
  </sheetViews>
  <sheetFormatPr defaultRowHeight="14.25" x14ac:dyDescent="0.2"/>
  <cols>
    <col min="1" max="1" width="4.7109375" style="45" customWidth="1"/>
    <col min="2" max="2" width="14.7109375" style="45" customWidth="1"/>
    <col min="3" max="3" width="11.7109375" style="45" customWidth="1"/>
    <col min="4" max="4" width="12" style="45" customWidth="1"/>
    <col min="5" max="5" width="11.85546875" style="45" customWidth="1"/>
    <col min="6" max="6" width="18.85546875" style="45" customWidth="1"/>
    <col min="7" max="7" width="10.140625" style="45" customWidth="1"/>
    <col min="8" max="8" width="14.7109375" style="45" customWidth="1"/>
    <col min="9" max="9" width="15.28515625" style="45" customWidth="1"/>
    <col min="10" max="10" width="14.7109375" style="45" customWidth="1"/>
    <col min="11" max="11" width="11.85546875" style="45" customWidth="1"/>
    <col min="12" max="16384" width="9.140625" style="45"/>
  </cols>
  <sheetData>
    <row r="1" spans="1:19" ht="15" customHeight="1" x14ac:dyDescent="0.25">
      <c r="C1" s="723"/>
      <c r="D1" s="723"/>
      <c r="E1" s="723"/>
      <c r="F1" s="723"/>
      <c r="G1" s="723"/>
      <c r="H1" s="723"/>
      <c r="I1" s="156"/>
      <c r="J1" s="38" t="s">
        <v>527</v>
      </c>
    </row>
    <row r="2" spans="1:19" s="50" customFormat="1" ht="19.5" customHeight="1" x14ac:dyDescent="0.2">
      <c r="A2" s="1080" t="s">
        <v>0</v>
      </c>
      <c r="B2" s="1080"/>
      <c r="C2" s="1080"/>
      <c r="D2" s="1080"/>
      <c r="E2" s="1080"/>
      <c r="F2" s="1080"/>
      <c r="G2" s="1080"/>
      <c r="H2" s="1080"/>
      <c r="I2" s="1080"/>
      <c r="J2" s="1080"/>
    </row>
    <row r="3" spans="1:19" s="50" customFormat="1" ht="19.5" customHeight="1" x14ac:dyDescent="0.2">
      <c r="A3" s="1079" t="s">
        <v>694</v>
      </c>
      <c r="B3" s="1079"/>
      <c r="C3" s="1079"/>
      <c r="D3" s="1079"/>
      <c r="E3" s="1079"/>
      <c r="F3" s="1079"/>
      <c r="G3" s="1079"/>
      <c r="H3" s="1079"/>
      <c r="I3" s="1079"/>
      <c r="J3" s="1079"/>
    </row>
    <row r="4" spans="1:19" s="50" customFormat="1" ht="14.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9" s="50" customFormat="1" ht="18" customHeight="1" x14ac:dyDescent="0.2">
      <c r="A5" s="985" t="s">
        <v>700</v>
      </c>
      <c r="B5" s="985"/>
      <c r="C5" s="985"/>
      <c r="D5" s="985"/>
      <c r="E5" s="985"/>
      <c r="F5" s="985"/>
      <c r="G5" s="985"/>
      <c r="H5" s="985"/>
      <c r="I5" s="985"/>
      <c r="J5" s="985"/>
    </row>
    <row r="6" spans="1:19" ht="15.75" x14ac:dyDescent="0.25">
      <c r="A6" s="191" t="s">
        <v>1098</v>
      </c>
      <c r="B6" s="191"/>
      <c r="C6" s="129"/>
      <c r="D6" s="129"/>
      <c r="E6" s="129"/>
      <c r="F6" s="129"/>
      <c r="G6" s="129"/>
      <c r="H6" s="129"/>
      <c r="I6" s="154"/>
      <c r="J6" s="154"/>
    </row>
    <row r="7" spans="1:19" ht="29.25" customHeight="1" x14ac:dyDescent="0.2">
      <c r="A7" s="1071" t="s">
        <v>70</v>
      </c>
      <c r="B7" s="1071" t="s">
        <v>71</v>
      </c>
      <c r="C7" s="1071" t="s">
        <v>72</v>
      </c>
      <c r="D7" s="1071" t="s">
        <v>150</v>
      </c>
      <c r="E7" s="1071"/>
      <c r="F7" s="1071"/>
      <c r="G7" s="1071"/>
      <c r="H7" s="1071"/>
      <c r="I7" s="1074" t="s">
        <v>230</v>
      </c>
      <c r="J7" s="1071" t="s">
        <v>73</v>
      </c>
      <c r="K7" s="1071" t="s">
        <v>218</v>
      </c>
    </row>
    <row r="8" spans="1:19" ht="34.15" customHeight="1" x14ac:dyDescent="0.2">
      <c r="A8" s="1071"/>
      <c r="B8" s="1071"/>
      <c r="C8" s="1071"/>
      <c r="D8" s="1071" t="s">
        <v>75</v>
      </c>
      <c r="E8" s="1071" t="s">
        <v>76</v>
      </c>
      <c r="F8" s="1071"/>
      <c r="G8" s="1071"/>
      <c r="H8" s="1074" t="s">
        <v>77</v>
      </c>
      <c r="I8" s="1075"/>
      <c r="J8" s="1071"/>
      <c r="K8" s="1071"/>
      <c r="R8" s="49"/>
      <c r="S8" s="49"/>
    </row>
    <row r="9" spans="1:19" ht="33.75" customHeight="1" x14ac:dyDescent="0.2">
      <c r="A9" s="1071"/>
      <c r="B9" s="1071"/>
      <c r="C9" s="1071"/>
      <c r="D9" s="1071"/>
      <c r="E9" s="46" t="s">
        <v>78</v>
      </c>
      <c r="F9" s="46" t="s">
        <v>79</v>
      </c>
      <c r="G9" s="46" t="s">
        <v>15</v>
      </c>
      <c r="H9" s="1076"/>
      <c r="I9" s="1076"/>
      <c r="J9" s="1071"/>
      <c r="K9" s="1071"/>
    </row>
    <row r="10" spans="1:19" s="51" customFormat="1" ht="17.100000000000001" customHeight="1" x14ac:dyDescent="0.2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</row>
    <row r="11" spans="1:19" ht="17.100000000000001" customHeight="1" x14ac:dyDescent="0.2">
      <c r="A11" s="52">
        <v>1</v>
      </c>
      <c r="B11" s="53" t="s">
        <v>793</v>
      </c>
      <c r="C11" s="52">
        <v>30</v>
      </c>
      <c r="D11" s="52">
        <v>0</v>
      </c>
      <c r="E11" s="52">
        <v>4</v>
      </c>
      <c r="F11" s="52">
        <v>5</v>
      </c>
      <c r="G11" s="52">
        <f>SUM(E11:F11)</f>
        <v>9</v>
      </c>
      <c r="H11" s="52">
        <f>D11+G11</f>
        <v>9</v>
      </c>
      <c r="I11" s="52">
        <f>C11-H11</f>
        <v>21</v>
      </c>
      <c r="J11" s="52">
        <f>I11</f>
        <v>21</v>
      </c>
      <c r="K11" s="52"/>
    </row>
    <row r="12" spans="1:19" ht="17.100000000000001" customHeight="1" x14ac:dyDescent="0.2">
      <c r="A12" s="52">
        <v>2</v>
      </c>
      <c r="B12" s="53" t="s">
        <v>794</v>
      </c>
      <c r="C12" s="52">
        <v>31</v>
      </c>
      <c r="D12" s="52">
        <v>0</v>
      </c>
      <c r="E12" s="52">
        <v>4</v>
      </c>
      <c r="F12" s="52">
        <v>12</v>
      </c>
      <c r="G12" s="52">
        <f t="shared" ref="G12:G22" si="0">SUM(E12:F12)</f>
        <v>16</v>
      </c>
      <c r="H12" s="52">
        <f t="shared" ref="H12:H22" si="1">D12+G12</f>
        <v>16</v>
      </c>
      <c r="I12" s="52">
        <f t="shared" ref="I12:I22" si="2">C12-H12</f>
        <v>15</v>
      </c>
      <c r="J12" s="52">
        <f t="shared" ref="J12:J22" si="3">I12</f>
        <v>15</v>
      </c>
      <c r="K12" s="52"/>
    </row>
    <row r="13" spans="1:19" ht="17.100000000000001" customHeight="1" x14ac:dyDescent="0.2">
      <c r="A13" s="52">
        <v>3</v>
      </c>
      <c r="B13" s="53" t="s">
        <v>795</v>
      </c>
      <c r="C13" s="52">
        <v>30</v>
      </c>
      <c r="D13" s="52">
        <v>0</v>
      </c>
      <c r="E13" s="52">
        <v>5</v>
      </c>
      <c r="F13" s="52">
        <v>10</v>
      </c>
      <c r="G13" s="52">
        <f t="shared" si="0"/>
        <v>15</v>
      </c>
      <c r="H13" s="52">
        <f t="shared" si="1"/>
        <v>15</v>
      </c>
      <c r="I13" s="52">
        <f t="shared" si="2"/>
        <v>15</v>
      </c>
      <c r="J13" s="52">
        <f t="shared" si="3"/>
        <v>15</v>
      </c>
      <c r="K13" s="52"/>
    </row>
    <row r="14" spans="1:19" ht="17.100000000000001" customHeight="1" x14ac:dyDescent="0.2">
      <c r="A14" s="52">
        <v>4</v>
      </c>
      <c r="B14" s="53" t="s">
        <v>796</v>
      </c>
      <c r="C14" s="52">
        <v>31</v>
      </c>
      <c r="D14" s="52">
        <v>0</v>
      </c>
      <c r="E14" s="52">
        <v>4</v>
      </c>
      <c r="F14" s="52">
        <v>1</v>
      </c>
      <c r="G14" s="52">
        <f t="shared" si="0"/>
        <v>5</v>
      </c>
      <c r="H14" s="52">
        <f t="shared" si="1"/>
        <v>5</v>
      </c>
      <c r="I14" s="52">
        <f t="shared" si="2"/>
        <v>26</v>
      </c>
      <c r="J14" s="52">
        <f t="shared" si="3"/>
        <v>26</v>
      </c>
      <c r="K14" s="52"/>
    </row>
    <row r="15" spans="1:19" ht="17.100000000000001" customHeight="1" x14ac:dyDescent="0.2">
      <c r="A15" s="52">
        <v>5</v>
      </c>
      <c r="B15" s="53" t="s">
        <v>797</v>
      </c>
      <c r="C15" s="52">
        <v>31</v>
      </c>
      <c r="D15" s="52">
        <v>1</v>
      </c>
      <c r="E15" s="52">
        <v>4</v>
      </c>
      <c r="F15" s="52">
        <v>2</v>
      </c>
      <c r="G15" s="52">
        <f t="shared" si="0"/>
        <v>6</v>
      </c>
      <c r="H15" s="52">
        <f t="shared" si="1"/>
        <v>7</v>
      </c>
      <c r="I15" s="52">
        <f t="shared" si="2"/>
        <v>24</v>
      </c>
      <c r="J15" s="52">
        <f t="shared" si="3"/>
        <v>24</v>
      </c>
      <c r="K15" s="52"/>
    </row>
    <row r="16" spans="1:19" s="51" customFormat="1" ht="17.100000000000001" customHeight="1" x14ac:dyDescent="0.2">
      <c r="A16" s="52">
        <v>6</v>
      </c>
      <c r="B16" s="53" t="s">
        <v>798</v>
      </c>
      <c r="C16" s="52">
        <v>30</v>
      </c>
      <c r="D16" s="52">
        <v>0</v>
      </c>
      <c r="E16" s="52">
        <v>5</v>
      </c>
      <c r="F16" s="52">
        <v>2</v>
      </c>
      <c r="G16" s="52">
        <f t="shared" si="0"/>
        <v>7</v>
      </c>
      <c r="H16" s="52">
        <f t="shared" si="1"/>
        <v>7</v>
      </c>
      <c r="I16" s="52">
        <f t="shared" si="2"/>
        <v>23</v>
      </c>
      <c r="J16" s="52">
        <f t="shared" si="3"/>
        <v>23</v>
      </c>
      <c r="K16" s="52"/>
    </row>
    <row r="17" spans="1:12" s="51" customFormat="1" ht="17.100000000000001" customHeight="1" x14ac:dyDescent="0.2">
      <c r="A17" s="52">
        <v>7</v>
      </c>
      <c r="B17" s="53" t="s">
        <v>799</v>
      </c>
      <c r="C17" s="52">
        <v>31</v>
      </c>
      <c r="D17" s="52">
        <v>1</v>
      </c>
      <c r="E17" s="52">
        <v>4</v>
      </c>
      <c r="F17" s="52">
        <v>10</v>
      </c>
      <c r="G17" s="52">
        <f t="shared" si="0"/>
        <v>14</v>
      </c>
      <c r="H17" s="52">
        <f t="shared" si="1"/>
        <v>15</v>
      </c>
      <c r="I17" s="52">
        <f t="shared" si="2"/>
        <v>16</v>
      </c>
      <c r="J17" s="52">
        <f t="shared" si="3"/>
        <v>16</v>
      </c>
      <c r="K17" s="52"/>
    </row>
    <row r="18" spans="1:12" s="51" customFormat="1" ht="17.100000000000001" customHeight="1" x14ac:dyDescent="0.2">
      <c r="A18" s="52">
        <v>8</v>
      </c>
      <c r="B18" s="53" t="s">
        <v>800</v>
      </c>
      <c r="C18" s="52">
        <v>30</v>
      </c>
      <c r="D18" s="52">
        <v>0</v>
      </c>
      <c r="E18" s="52">
        <v>4</v>
      </c>
      <c r="F18" s="52">
        <v>3</v>
      </c>
      <c r="G18" s="52">
        <f t="shared" si="0"/>
        <v>7</v>
      </c>
      <c r="H18" s="52">
        <f t="shared" si="1"/>
        <v>7</v>
      </c>
      <c r="I18" s="52">
        <f t="shared" si="2"/>
        <v>23</v>
      </c>
      <c r="J18" s="52">
        <f t="shared" si="3"/>
        <v>23</v>
      </c>
      <c r="K18" s="52"/>
    </row>
    <row r="19" spans="1:12" s="51" customFormat="1" ht="17.100000000000001" customHeight="1" x14ac:dyDescent="0.2">
      <c r="A19" s="52">
        <v>9</v>
      </c>
      <c r="B19" s="53" t="s">
        <v>801</v>
      </c>
      <c r="C19" s="52">
        <v>31</v>
      </c>
      <c r="D19" s="52">
        <v>0</v>
      </c>
      <c r="E19" s="52">
        <v>5</v>
      </c>
      <c r="F19" s="52">
        <v>5</v>
      </c>
      <c r="G19" s="52">
        <f t="shared" si="0"/>
        <v>10</v>
      </c>
      <c r="H19" s="52">
        <f t="shared" si="1"/>
        <v>10</v>
      </c>
      <c r="I19" s="52">
        <f t="shared" si="2"/>
        <v>21</v>
      </c>
      <c r="J19" s="52">
        <f t="shared" si="3"/>
        <v>21</v>
      </c>
      <c r="K19" s="52"/>
    </row>
    <row r="20" spans="1:12" s="51" customFormat="1" ht="17.100000000000001" customHeight="1" x14ac:dyDescent="0.2">
      <c r="A20" s="52">
        <v>10</v>
      </c>
      <c r="B20" s="53" t="s">
        <v>805</v>
      </c>
      <c r="C20" s="52">
        <v>31</v>
      </c>
      <c r="D20" s="52">
        <v>1</v>
      </c>
      <c r="E20" s="52">
        <v>4</v>
      </c>
      <c r="F20" s="52">
        <v>3</v>
      </c>
      <c r="G20" s="52">
        <f t="shared" si="0"/>
        <v>7</v>
      </c>
      <c r="H20" s="52">
        <f t="shared" si="1"/>
        <v>8</v>
      </c>
      <c r="I20" s="52">
        <f t="shared" si="2"/>
        <v>23</v>
      </c>
      <c r="J20" s="52">
        <f t="shared" si="3"/>
        <v>23</v>
      </c>
      <c r="K20" s="52"/>
    </row>
    <row r="21" spans="1:12" s="51" customFormat="1" ht="17.100000000000001" customHeight="1" x14ac:dyDescent="0.2">
      <c r="A21" s="52">
        <v>11</v>
      </c>
      <c r="B21" s="53" t="s">
        <v>806</v>
      </c>
      <c r="C21" s="52">
        <v>29</v>
      </c>
      <c r="D21" s="52">
        <v>0</v>
      </c>
      <c r="E21" s="52">
        <v>4</v>
      </c>
      <c r="F21" s="52">
        <v>1</v>
      </c>
      <c r="G21" s="52">
        <f t="shared" si="0"/>
        <v>5</v>
      </c>
      <c r="H21" s="52">
        <f t="shared" si="1"/>
        <v>5</v>
      </c>
      <c r="I21" s="52">
        <f t="shared" si="2"/>
        <v>24</v>
      </c>
      <c r="J21" s="52">
        <f t="shared" si="3"/>
        <v>24</v>
      </c>
      <c r="K21" s="52"/>
    </row>
    <row r="22" spans="1:12" s="51" customFormat="1" ht="17.100000000000001" customHeight="1" x14ac:dyDescent="0.2">
      <c r="A22" s="52">
        <v>12</v>
      </c>
      <c r="B22" s="53" t="s">
        <v>807</v>
      </c>
      <c r="C22" s="52">
        <v>31</v>
      </c>
      <c r="D22" s="52">
        <v>0</v>
      </c>
      <c r="E22" s="52">
        <v>5</v>
      </c>
      <c r="F22" s="52">
        <v>3</v>
      </c>
      <c r="G22" s="52">
        <f t="shared" si="0"/>
        <v>8</v>
      </c>
      <c r="H22" s="52">
        <f t="shared" si="1"/>
        <v>8</v>
      </c>
      <c r="I22" s="52">
        <f t="shared" si="2"/>
        <v>23</v>
      </c>
      <c r="J22" s="52">
        <f t="shared" si="3"/>
        <v>23</v>
      </c>
      <c r="K22" s="52"/>
    </row>
    <row r="23" spans="1:12" s="434" customFormat="1" ht="17.100000000000001" customHeight="1" x14ac:dyDescent="0.2">
      <c r="A23" s="1077" t="s">
        <v>15</v>
      </c>
      <c r="B23" s="1078"/>
      <c r="C23" s="46">
        <f>SUM(C11:C22)</f>
        <v>366</v>
      </c>
      <c r="D23" s="46">
        <f t="shared" ref="D23:K23" si="4">SUM(D11:D22)</f>
        <v>3</v>
      </c>
      <c r="E23" s="46">
        <f t="shared" si="4"/>
        <v>52</v>
      </c>
      <c r="F23" s="46">
        <f t="shared" si="4"/>
        <v>57</v>
      </c>
      <c r="G23" s="46">
        <f t="shared" si="4"/>
        <v>109</v>
      </c>
      <c r="H23" s="46">
        <f t="shared" si="4"/>
        <v>112</v>
      </c>
      <c r="I23" s="46">
        <f t="shared" si="4"/>
        <v>254</v>
      </c>
      <c r="J23" s="46">
        <f t="shared" si="4"/>
        <v>254</v>
      </c>
      <c r="K23" s="46">
        <f t="shared" si="4"/>
        <v>0</v>
      </c>
    </row>
    <row r="24" spans="1:12" s="51" customFormat="1" ht="11.25" customHeight="1" x14ac:dyDescent="0.2">
      <c r="A24" s="55"/>
      <c r="B24" s="56"/>
      <c r="C24" s="57"/>
      <c r="D24" s="55"/>
      <c r="E24" s="55"/>
      <c r="F24" s="55"/>
      <c r="G24" s="55"/>
      <c r="H24" s="55"/>
      <c r="I24" s="55"/>
      <c r="J24" s="55"/>
      <c r="K24" s="55"/>
    </row>
    <row r="25" spans="1:12" ht="15" x14ac:dyDescent="0.25">
      <c r="A25" s="48" t="s">
        <v>101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2" ht="1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2" ht="15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9" spans="1:12" ht="15" x14ac:dyDescent="0.25">
      <c r="A29" s="683" t="s">
        <v>11</v>
      </c>
      <c r="B29" s="683"/>
      <c r="C29" s="683"/>
      <c r="D29" s="683"/>
      <c r="E29" s="683"/>
      <c r="F29" s="683"/>
      <c r="G29" s="683"/>
      <c r="H29" s="683"/>
      <c r="I29" s="683"/>
      <c r="J29" s="1072" t="s">
        <v>1107</v>
      </c>
      <c r="K29" s="1072"/>
    </row>
    <row r="30" spans="1:12" ht="15" customHeight="1" x14ac:dyDescent="0.2">
      <c r="A30" s="1073" t="s">
        <v>1108</v>
      </c>
      <c r="B30" s="1073"/>
      <c r="C30" s="1073"/>
      <c r="D30" s="1073"/>
      <c r="E30" s="1073"/>
      <c r="F30" s="1073"/>
      <c r="G30" s="1073"/>
      <c r="H30" s="1073"/>
      <c r="I30" s="1073"/>
      <c r="J30" s="1073"/>
      <c r="K30" s="1073"/>
      <c r="L30" s="567"/>
    </row>
    <row r="31" spans="1:12" ht="13.9" customHeight="1" x14ac:dyDescent="0.2">
      <c r="A31" s="1073" t="s">
        <v>1111</v>
      </c>
      <c r="B31" s="1073"/>
      <c r="C31" s="1073"/>
      <c r="D31" s="1073"/>
      <c r="E31" s="1073"/>
      <c r="F31" s="1073"/>
      <c r="G31" s="1073"/>
      <c r="H31" s="1073"/>
      <c r="I31" s="1073"/>
      <c r="J31" s="1073"/>
      <c r="K31" s="1073"/>
      <c r="L31" s="566"/>
    </row>
    <row r="32" spans="1:12" ht="13.9" customHeight="1" x14ac:dyDescent="0.25">
      <c r="A32" s="683"/>
      <c r="B32" s="683"/>
      <c r="C32" s="683"/>
      <c r="D32" s="683"/>
      <c r="E32" s="683"/>
      <c r="F32" s="683"/>
      <c r="G32" s="683"/>
      <c r="H32" s="669"/>
      <c r="I32" s="683" t="s">
        <v>1110</v>
      </c>
      <c r="J32" s="683"/>
      <c r="K32" s="683"/>
      <c r="L32" s="566"/>
    </row>
  </sheetData>
  <mergeCells count="18">
    <mergeCell ref="E8:G8"/>
    <mergeCell ref="I7:I9"/>
    <mergeCell ref="A23:B23"/>
    <mergeCell ref="K7:K9"/>
    <mergeCell ref="H8:H9"/>
    <mergeCell ref="J29:K29"/>
    <mergeCell ref="J7:J9"/>
    <mergeCell ref="D8:D9"/>
    <mergeCell ref="A30:K30"/>
    <mergeCell ref="A31:K31"/>
    <mergeCell ref="C1:H1"/>
    <mergeCell ref="A2:J2"/>
    <mergeCell ref="A3:J3"/>
    <mergeCell ref="A5:J5"/>
    <mergeCell ref="A7:A9"/>
    <mergeCell ref="B7:B9"/>
    <mergeCell ref="C7:C9"/>
    <mergeCell ref="D7:H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view="pageBreakPreview" topLeftCell="A10" zoomScale="85" zoomScaleNormal="70" zoomScaleSheetLayoutView="85" workbookViewId="0">
      <selection activeCell="A41" sqref="A41:S44"/>
    </sheetView>
  </sheetViews>
  <sheetFormatPr defaultRowHeight="12.75" x14ac:dyDescent="0.2"/>
  <cols>
    <col min="1" max="1" width="5.5703125" style="236" customWidth="1"/>
    <col min="2" max="2" width="16.140625" style="236" customWidth="1"/>
    <col min="3" max="3" width="10.28515625" style="236" customWidth="1"/>
    <col min="4" max="4" width="8.42578125" style="236" customWidth="1"/>
    <col min="5" max="6" width="9.85546875" style="236" customWidth="1"/>
    <col min="7" max="7" width="10.85546875" style="236" customWidth="1"/>
    <col min="8" max="8" width="12.85546875" style="236" customWidth="1"/>
    <col min="9" max="10" width="9.7109375" style="228" customWidth="1"/>
    <col min="11" max="11" width="8" style="228" customWidth="1"/>
    <col min="12" max="12" width="8.140625" style="228" customWidth="1"/>
    <col min="13" max="15" width="10" style="228" customWidth="1"/>
    <col min="16" max="16" width="8.140625" style="228" customWidth="1"/>
    <col min="17" max="18" width="8.85546875" style="228" customWidth="1"/>
    <col min="19" max="19" width="10.7109375" style="228" customWidth="1"/>
    <col min="20" max="20" width="14.140625" style="228" customWidth="1"/>
    <col min="21" max="21" width="9.140625" style="236"/>
    <col min="22" max="16384" width="9.140625" style="228"/>
  </cols>
  <sheetData>
    <row r="1" spans="1:35" ht="12.75" customHeight="1" x14ac:dyDescent="0.2">
      <c r="G1" s="1088"/>
      <c r="H1" s="1088"/>
      <c r="I1" s="1088"/>
      <c r="J1" s="236"/>
      <c r="K1" s="236"/>
      <c r="L1" s="236"/>
      <c r="M1" s="236"/>
      <c r="N1" s="236"/>
      <c r="O1" s="236"/>
      <c r="P1" s="236"/>
      <c r="Q1" s="1090" t="s">
        <v>528</v>
      </c>
      <c r="R1" s="1090"/>
      <c r="S1" s="1090"/>
      <c r="T1" s="1090"/>
    </row>
    <row r="2" spans="1:35" ht="15.75" x14ac:dyDescent="0.25">
      <c r="A2" s="1096" t="s">
        <v>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</row>
    <row r="3" spans="1:35" ht="18" x14ac:dyDescent="0.25">
      <c r="A3" s="1097" t="s">
        <v>694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</row>
    <row r="4" spans="1:35" ht="12.75" customHeight="1" x14ac:dyDescent="0.2">
      <c r="A4" s="1091" t="s">
        <v>701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</row>
    <row r="5" spans="1:35" s="229" customFormat="1" ht="7.5" customHeight="1" x14ac:dyDescent="0.2">
      <c r="A5" s="1091"/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283"/>
    </row>
    <row r="6" spans="1:35" x14ac:dyDescent="0.2">
      <c r="A6" s="1089"/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</row>
    <row r="7" spans="1:35" x14ac:dyDescent="0.2">
      <c r="A7" s="191" t="s">
        <v>1098</v>
      </c>
      <c r="B7" s="191"/>
      <c r="H7" s="237"/>
      <c r="I7" s="236"/>
      <c r="J7" s="236"/>
      <c r="K7" s="236"/>
      <c r="L7" s="1082"/>
      <c r="M7" s="1082"/>
      <c r="N7" s="1082"/>
      <c r="O7" s="1082"/>
      <c r="P7" s="1082"/>
      <c r="Q7" s="1082"/>
      <c r="R7" s="1082"/>
      <c r="S7" s="1082"/>
      <c r="T7" s="1082"/>
    </row>
    <row r="8" spans="1:35" ht="24.75" customHeight="1" x14ac:dyDescent="0.2">
      <c r="A8" s="999" t="s">
        <v>1</v>
      </c>
      <c r="B8" s="999" t="s">
        <v>2</v>
      </c>
      <c r="C8" s="1083" t="s">
        <v>481</v>
      </c>
      <c r="D8" s="1084"/>
      <c r="E8" s="1084"/>
      <c r="F8" s="1084"/>
      <c r="G8" s="1085"/>
      <c r="H8" s="1094" t="s">
        <v>80</v>
      </c>
      <c r="I8" s="1083" t="s">
        <v>81</v>
      </c>
      <c r="J8" s="1084"/>
      <c r="K8" s="1084"/>
      <c r="L8" s="1085"/>
      <c r="M8" s="999" t="s">
        <v>646</v>
      </c>
      <c r="N8" s="999"/>
      <c r="O8" s="999"/>
      <c r="P8" s="999"/>
      <c r="Q8" s="999"/>
      <c r="R8" s="999"/>
      <c r="S8" s="1087" t="s">
        <v>842</v>
      </c>
      <c r="T8" s="1087"/>
    </row>
    <row r="9" spans="1:35" ht="44.45" customHeight="1" x14ac:dyDescent="0.2">
      <c r="A9" s="999"/>
      <c r="B9" s="999"/>
      <c r="C9" s="238" t="s">
        <v>4</v>
      </c>
      <c r="D9" s="238" t="s">
        <v>5</v>
      </c>
      <c r="E9" s="238" t="s">
        <v>350</v>
      </c>
      <c r="F9" s="239" t="s">
        <v>95</v>
      </c>
      <c r="G9" s="239" t="s">
        <v>219</v>
      </c>
      <c r="H9" s="1095"/>
      <c r="I9" s="238" t="s">
        <v>85</v>
      </c>
      <c r="J9" s="238" t="s">
        <v>17</v>
      </c>
      <c r="K9" s="238" t="s">
        <v>38</v>
      </c>
      <c r="L9" s="238" t="s">
        <v>681</v>
      </c>
      <c r="M9" s="238" t="s">
        <v>15</v>
      </c>
      <c r="N9" s="238" t="s">
        <v>983</v>
      </c>
      <c r="O9" s="238" t="s">
        <v>984</v>
      </c>
      <c r="P9" s="238" t="s">
        <v>649</v>
      </c>
      <c r="Q9" s="238" t="s">
        <v>650</v>
      </c>
      <c r="R9" s="238" t="s">
        <v>651</v>
      </c>
      <c r="S9" s="238" t="s">
        <v>855</v>
      </c>
      <c r="T9" s="238" t="s">
        <v>853</v>
      </c>
    </row>
    <row r="10" spans="1:35" s="230" customFormat="1" x14ac:dyDescent="0.2">
      <c r="A10" s="288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7</v>
      </c>
      <c r="H10" s="288">
        <v>8</v>
      </c>
      <c r="I10" s="288">
        <v>9</v>
      </c>
      <c r="J10" s="288">
        <v>10</v>
      </c>
      <c r="K10" s="288">
        <v>11</v>
      </c>
      <c r="L10" s="288">
        <v>12</v>
      </c>
      <c r="M10" s="288">
        <v>13</v>
      </c>
      <c r="N10" s="288">
        <v>14</v>
      </c>
      <c r="O10" s="288">
        <v>15</v>
      </c>
      <c r="P10" s="288">
        <v>16</v>
      </c>
      <c r="Q10" s="288">
        <v>17</v>
      </c>
      <c r="R10" s="288">
        <v>18</v>
      </c>
      <c r="S10" s="288">
        <v>19</v>
      </c>
      <c r="T10" s="288">
        <v>20</v>
      </c>
      <c r="U10" s="242"/>
    </row>
    <row r="11" spans="1:35" x14ac:dyDescent="0.2">
      <c r="A11" s="240">
        <v>1</v>
      </c>
      <c r="B11" s="351" t="s">
        <v>875</v>
      </c>
      <c r="C11" s="438">
        <v>119625</v>
      </c>
      <c r="D11" s="438">
        <v>26098</v>
      </c>
      <c r="E11" s="438">
        <v>0</v>
      </c>
      <c r="F11" s="438">
        <v>144</v>
      </c>
      <c r="G11" s="438">
        <f>SUM(C11:F11)</f>
        <v>145867</v>
      </c>
      <c r="H11" s="444">
        <v>254</v>
      </c>
      <c r="I11" s="441">
        <f>J11</f>
        <v>3705.0218</v>
      </c>
      <c r="J11" s="441">
        <f>G11*254*0.0001</f>
        <v>3705.0218</v>
      </c>
      <c r="K11" s="241"/>
      <c r="L11" s="241"/>
      <c r="M11" s="441">
        <f>N11+O11</f>
        <v>741.00436000000002</v>
      </c>
      <c r="N11" s="441">
        <f>G11*254*0.00001</f>
        <v>370.50218000000001</v>
      </c>
      <c r="O11" s="441">
        <f>G11*254*0.00001</f>
        <v>370.50218000000001</v>
      </c>
      <c r="P11" s="241"/>
      <c r="Q11" s="241"/>
      <c r="R11" s="241"/>
      <c r="S11" s="443">
        <v>117.5</v>
      </c>
      <c r="T11" s="441">
        <f>J11*1175/100000</f>
        <v>43.534006150000003</v>
      </c>
      <c r="U11" s="437">
        <v>96471.835999999996</v>
      </c>
      <c r="V11" s="436">
        <v>21046.664000000001</v>
      </c>
      <c r="W11" s="436">
        <v>0</v>
      </c>
      <c r="X11" s="436">
        <v>116.336</v>
      </c>
      <c r="Y11" s="436"/>
      <c r="Z11" s="436">
        <f>24/100*U11</f>
        <v>23153.240639999996</v>
      </c>
      <c r="AA11" s="436">
        <f>24/100*V11</f>
        <v>5051.1993599999996</v>
      </c>
      <c r="AB11" s="436">
        <f>24/100*W11</f>
        <v>0</v>
      </c>
      <c r="AC11" s="436">
        <f>24/100*X11</f>
        <v>27.920639999999999</v>
      </c>
      <c r="AD11" s="436"/>
      <c r="AE11" s="436">
        <f>U11+Z11</f>
        <v>119625.07663999998</v>
      </c>
      <c r="AF11" s="436">
        <f>V11+AA11</f>
        <v>26097.863359999999</v>
      </c>
      <c r="AG11" s="436">
        <f>W11+AB11</f>
        <v>0</v>
      </c>
      <c r="AH11" s="436">
        <f>X11+AC11</f>
        <v>144.25664</v>
      </c>
      <c r="AI11" s="436">
        <f>Y11+AD11</f>
        <v>0</v>
      </c>
    </row>
    <row r="12" spans="1:35" x14ac:dyDescent="0.2">
      <c r="A12" s="240">
        <v>2</v>
      </c>
      <c r="B12" s="351" t="s">
        <v>876</v>
      </c>
      <c r="C12" s="438">
        <v>34729</v>
      </c>
      <c r="D12" s="438">
        <v>14393</v>
      </c>
      <c r="E12" s="438">
        <v>0</v>
      </c>
      <c r="F12" s="438">
        <v>0</v>
      </c>
      <c r="G12" s="438">
        <f t="shared" ref="G12:G34" si="0">SUM(C12:F12)</f>
        <v>49122</v>
      </c>
      <c r="H12" s="444">
        <v>254</v>
      </c>
      <c r="I12" s="441">
        <f t="shared" ref="I12:I34" si="1">J12</f>
        <v>1247.6988000000001</v>
      </c>
      <c r="J12" s="441">
        <f t="shared" ref="J12:J34" si="2">G12*254*0.0001</f>
        <v>1247.6988000000001</v>
      </c>
      <c r="K12" s="241"/>
      <c r="L12" s="241"/>
      <c r="M12" s="441">
        <f t="shared" ref="M12:M34" si="3">N12+O12</f>
        <v>249.53976000000003</v>
      </c>
      <c r="N12" s="441">
        <f t="shared" ref="N12:N34" si="4">G12*254*0.00001</f>
        <v>124.76988000000001</v>
      </c>
      <c r="O12" s="441">
        <f t="shared" ref="O12:O34" si="5">G12*254*0.00001</f>
        <v>124.76988000000001</v>
      </c>
      <c r="P12" s="241"/>
      <c r="Q12" s="241"/>
      <c r="R12" s="241"/>
      <c r="S12" s="443">
        <v>117.5</v>
      </c>
      <c r="T12" s="441">
        <f t="shared" ref="T12:T34" si="6">J12*1175/100000</f>
        <v>14.6604609</v>
      </c>
      <c r="U12" s="437">
        <v>28007.583999999999</v>
      </c>
      <c r="V12" s="436">
        <v>11607.6</v>
      </c>
      <c r="W12" s="436">
        <v>0</v>
      </c>
      <c r="X12" s="436">
        <v>0</v>
      </c>
      <c r="Y12" s="436"/>
      <c r="Z12" s="436">
        <f t="shared" ref="Z12:Z34" si="7">24/100*U12</f>
        <v>6721.8201599999993</v>
      </c>
      <c r="AA12" s="436">
        <f t="shared" ref="AA12:AA34" si="8">24/100*V12</f>
        <v>2785.8240000000001</v>
      </c>
      <c r="AB12" s="436">
        <f t="shared" ref="AB12:AB34" si="9">24/100*W12</f>
        <v>0</v>
      </c>
      <c r="AC12" s="436">
        <f t="shared" ref="AC12:AC34" si="10">24/100*X12</f>
        <v>0</v>
      </c>
      <c r="AD12" s="436"/>
      <c r="AE12" s="436">
        <f t="shared" ref="AE12:AE34" si="11">U12+Z12</f>
        <v>34729.404159999998</v>
      </c>
      <c r="AF12" s="436">
        <f t="shared" ref="AF12:AF34" si="12">V12+AA12</f>
        <v>14393.424000000001</v>
      </c>
      <c r="AG12" s="436">
        <f t="shared" ref="AG12:AG34" si="13">W12+AB12</f>
        <v>0</v>
      </c>
      <c r="AH12" s="436">
        <f t="shared" ref="AH12:AH34" si="14">X12+AC12</f>
        <v>0</v>
      </c>
      <c r="AI12" s="436">
        <f t="shared" ref="AI12:AI34" si="15">Y12+AD12</f>
        <v>0</v>
      </c>
    </row>
    <row r="13" spans="1:35" x14ac:dyDescent="0.2">
      <c r="A13" s="240">
        <v>3</v>
      </c>
      <c r="B13" s="351" t="s">
        <v>877</v>
      </c>
      <c r="C13" s="438">
        <v>36168</v>
      </c>
      <c r="D13" s="438">
        <v>2374</v>
      </c>
      <c r="E13" s="438">
        <v>0</v>
      </c>
      <c r="F13" s="438">
        <v>0</v>
      </c>
      <c r="G13" s="438">
        <f t="shared" si="0"/>
        <v>38542</v>
      </c>
      <c r="H13" s="444">
        <v>254</v>
      </c>
      <c r="I13" s="441">
        <f t="shared" si="1"/>
        <v>978.96680000000003</v>
      </c>
      <c r="J13" s="441">
        <f t="shared" si="2"/>
        <v>978.96680000000003</v>
      </c>
      <c r="K13" s="241"/>
      <c r="L13" s="241"/>
      <c r="M13" s="441">
        <f t="shared" si="3"/>
        <v>195.79336000000001</v>
      </c>
      <c r="N13" s="441">
        <f t="shared" si="4"/>
        <v>97.896680000000003</v>
      </c>
      <c r="O13" s="441">
        <f t="shared" si="5"/>
        <v>97.896680000000003</v>
      </c>
      <c r="P13" s="241"/>
      <c r="Q13" s="241"/>
      <c r="R13" s="241"/>
      <c r="S13" s="443">
        <v>117.5</v>
      </c>
      <c r="T13" s="441">
        <f t="shared" si="6"/>
        <v>11.502859900000001</v>
      </c>
      <c r="U13" s="437">
        <v>29167.68</v>
      </c>
      <c r="V13" s="436">
        <v>1914.472</v>
      </c>
      <c r="W13" s="436">
        <v>0</v>
      </c>
      <c r="X13" s="436">
        <v>0</v>
      </c>
      <c r="Y13" s="436"/>
      <c r="Z13" s="436">
        <f t="shared" si="7"/>
        <v>7000.2431999999999</v>
      </c>
      <c r="AA13" s="436">
        <f t="shared" si="8"/>
        <v>459.47327999999999</v>
      </c>
      <c r="AB13" s="436">
        <f t="shared" si="9"/>
        <v>0</v>
      </c>
      <c r="AC13" s="436">
        <f t="shared" si="10"/>
        <v>0</v>
      </c>
      <c r="AD13" s="436"/>
      <c r="AE13" s="436">
        <f t="shared" si="11"/>
        <v>36167.923199999997</v>
      </c>
      <c r="AF13" s="436">
        <f t="shared" si="12"/>
        <v>2373.9452799999999</v>
      </c>
      <c r="AG13" s="436">
        <f t="shared" si="13"/>
        <v>0</v>
      </c>
      <c r="AH13" s="436">
        <f t="shared" si="14"/>
        <v>0</v>
      </c>
      <c r="AI13" s="436">
        <f t="shared" si="15"/>
        <v>0</v>
      </c>
    </row>
    <row r="14" spans="1:35" x14ac:dyDescent="0.2">
      <c r="A14" s="240">
        <v>4</v>
      </c>
      <c r="B14" s="351" t="s">
        <v>878</v>
      </c>
      <c r="C14" s="438">
        <v>88256</v>
      </c>
      <c r="D14" s="438">
        <v>25581</v>
      </c>
      <c r="E14" s="438">
        <v>0</v>
      </c>
      <c r="F14" s="438">
        <v>132</v>
      </c>
      <c r="G14" s="438">
        <f t="shared" si="0"/>
        <v>113969</v>
      </c>
      <c r="H14" s="444">
        <v>254</v>
      </c>
      <c r="I14" s="441">
        <f t="shared" si="1"/>
        <v>2894.8126000000002</v>
      </c>
      <c r="J14" s="441">
        <f t="shared" si="2"/>
        <v>2894.8126000000002</v>
      </c>
      <c r="K14" s="241"/>
      <c r="L14" s="241"/>
      <c r="M14" s="441">
        <f t="shared" si="3"/>
        <v>578.96252000000004</v>
      </c>
      <c r="N14" s="441">
        <f t="shared" si="4"/>
        <v>289.48126000000002</v>
      </c>
      <c r="O14" s="441">
        <f t="shared" si="5"/>
        <v>289.48126000000002</v>
      </c>
      <c r="P14" s="241"/>
      <c r="Q14" s="241"/>
      <c r="R14" s="241"/>
      <c r="S14" s="443">
        <v>117.5</v>
      </c>
      <c r="T14" s="441">
        <f t="shared" si="6"/>
        <v>34.01404805</v>
      </c>
      <c r="U14" s="437">
        <v>71174.148000000001</v>
      </c>
      <c r="V14" s="436">
        <v>20629.511999999999</v>
      </c>
      <c r="W14" s="436">
        <v>0</v>
      </c>
      <c r="X14" s="436">
        <v>106.416</v>
      </c>
      <c r="Y14" s="436"/>
      <c r="Z14" s="436">
        <f t="shared" si="7"/>
        <v>17081.79552</v>
      </c>
      <c r="AA14" s="436">
        <f t="shared" si="8"/>
        <v>4951.0828799999999</v>
      </c>
      <c r="AB14" s="436">
        <f t="shared" si="9"/>
        <v>0</v>
      </c>
      <c r="AC14" s="436">
        <f t="shared" si="10"/>
        <v>25.539839999999998</v>
      </c>
      <c r="AD14" s="436"/>
      <c r="AE14" s="436">
        <f t="shared" si="11"/>
        <v>88255.943520000001</v>
      </c>
      <c r="AF14" s="436">
        <f t="shared" si="12"/>
        <v>25580.594879999997</v>
      </c>
      <c r="AG14" s="436">
        <f t="shared" si="13"/>
        <v>0</v>
      </c>
      <c r="AH14" s="436">
        <f t="shared" si="14"/>
        <v>131.95583999999999</v>
      </c>
      <c r="AI14" s="436">
        <f t="shared" si="15"/>
        <v>0</v>
      </c>
    </row>
    <row r="15" spans="1:35" x14ac:dyDescent="0.2">
      <c r="A15" s="240">
        <v>5</v>
      </c>
      <c r="B15" s="351" t="s">
        <v>879</v>
      </c>
      <c r="C15" s="438">
        <v>32233</v>
      </c>
      <c r="D15" s="438">
        <v>26976</v>
      </c>
      <c r="E15" s="438">
        <v>0</v>
      </c>
      <c r="F15" s="438">
        <v>0</v>
      </c>
      <c r="G15" s="438">
        <f t="shared" si="0"/>
        <v>59209</v>
      </c>
      <c r="H15" s="444">
        <v>254</v>
      </c>
      <c r="I15" s="441">
        <f t="shared" si="1"/>
        <v>1503.9086</v>
      </c>
      <c r="J15" s="441">
        <f t="shared" si="2"/>
        <v>1503.9086</v>
      </c>
      <c r="K15" s="241"/>
      <c r="L15" s="241"/>
      <c r="M15" s="441">
        <f t="shared" si="3"/>
        <v>300.78172000000001</v>
      </c>
      <c r="N15" s="441">
        <f t="shared" si="4"/>
        <v>150.39086</v>
      </c>
      <c r="O15" s="441">
        <f t="shared" si="5"/>
        <v>150.39086</v>
      </c>
      <c r="P15" s="241"/>
      <c r="Q15" s="241"/>
      <c r="R15" s="241"/>
      <c r="S15" s="443">
        <v>117.5</v>
      </c>
      <c r="T15" s="441">
        <f t="shared" si="6"/>
        <v>17.670926049999998</v>
      </c>
      <c r="U15" s="437">
        <v>25994.304</v>
      </c>
      <c r="V15" s="436">
        <v>21754.556</v>
      </c>
      <c r="W15" s="436">
        <v>0</v>
      </c>
      <c r="X15" s="436">
        <v>0</v>
      </c>
      <c r="Y15" s="436"/>
      <c r="Z15" s="436">
        <f t="shared" si="7"/>
        <v>6238.6329599999999</v>
      </c>
      <c r="AA15" s="436">
        <f t="shared" si="8"/>
        <v>5221.0934399999996</v>
      </c>
      <c r="AB15" s="436">
        <f t="shared" si="9"/>
        <v>0</v>
      </c>
      <c r="AC15" s="436">
        <f t="shared" si="10"/>
        <v>0</v>
      </c>
      <c r="AD15" s="436"/>
      <c r="AE15" s="436">
        <f t="shared" si="11"/>
        <v>32232.936959999999</v>
      </c>
      <c r="AF15" s="436">
        <f t="shared" si="12"/>
        <v>26975.649440000001</v>
      </c>
      <c r="AG15" s="436">
        <f t="shared" si="13"/>
        <v>0</v>
      </c>
      <c r="AH15" s="436">
        <f t="shared" si="14"/>
        <v>0</v>
      </c>
      <c r="AI15" s="436">
        <f t="shared" si="15"/>
        <v>0</v>
      </c>
    </row>
    <row r="16" spans="1:35" x14ac:dyDescent="0.2">
      <c r="A16" s="240">
        <v>6</v>
      </c>
      <c r="B16" s="351" t="s">
        <v>880</v>
      </c>
      <c r="C16" s="438">
        <v>89963</v>
      </c>
      <c r="D16" s="438">
        <v>11348</v>
      </c>
      <c r="E16" s="438">
        <v>0</v>
      </c>
      <c r="F16" s="438">
        <v>47</v>
      </c>
      <c r="G16" s="438">
        <f t="shared" si="0"/>
        <v>101358</v>
      </c>
      <c r="H16" s="444">
        <v>254</v>
      </c>
      <c r="I16" s="441">
        <f t="shared" si="1"/>
        <v>2574.4932000000003</v>
      </c>
      <c r="J16" s="441">
        <f t="shared" si="2"/>
        <v>2574.4932000000003</v>
      </c>
      <c r="K16" s="241"/>
      <c r="L16" s="241"/>
      <c r="M16" s="441">
        <f t="shared" si="3"/>
        <v>514.89864</v>
      </c>
      <c r="N16" s="441">
        <f t="shared" si="4"/>
        <v>257.44932</v>
      </c>
      <c r="O16" s="441">
        <f t="shared" si="5"/>
        <v>257.44932</v>
      </c>
      <c r="P16" s="241"/>
      <c r="Q16" s="241"/>
      <c r="R16" s="241"/>
      <c r="S16" s="443">
        <v>117.5</v>
      </c>
      <c r="T16" s="441">
        <f t="shared" si="6"/>
        <v>30.250295100000002</v>
      </c>
      <c r="U16" s="437">
        <v>72550.555999999997</v>
      </c>
      <c r="V16" s="436">
        <v>9151.56</v>
      </c>
      <c r="W16" s="436">
        <v>0</v>
      </c>
      <c r="X16" s="436">
        <v>37.555999999999997</v>
      </c>
      <c r="Y16" s="436"/>
      <c r="Z16" s="436">
        <f t="shared" si="7"/>
        <v>17412.133439999998</v>
      </c>
      <c r="AA16" s="436">
        <f t="shared" si="8"/>
        <v>2196.3743999999997</v>
      </c>
      <c r="AB16" s="436">
        <f t="shared" si="9"/>
        <v>0</v>
      </c>
      <c r="AC16" s="436">
        <f t="shared" si="10"/>
        <v>9.0134399999999992</v>
      </c>
      <c r="AD16" s="436"/>
      <c r="AE16" s="436">
        <f t="shared" si="11"/>
        <v>89962.689439999987</v>
      </c>
      <c r="AF16" s="436">
        <f t="shared" si="12"/>
        <v>11347.934399999998</v>
      </c>
      <c r="AG16" s="436">
        <f t="shared" si="13"/>
        <v>0</v>
      </c>
      <c r="AH16" s="436">
        <f t="shared" si="14"/>
        <v>46.56944</v>
      </c>
      <c r="AI16" s="436">
        <f t="shared" si="15"/>
        <v>0</v>
      </c>
    </row>
    <row r="17" spans="1:35" x14ac:dyDescent="0.2">
      <c r="A17" s="240">
        <v>7</v>
      </c>
      <c r="B17" s="351" t="s">
        <v>923</v>
      </c>
      <c r="C17" s="438">
        <v>66093</v>
      </c>
      <c r="D17" s="438">
        <v>0</v>
      </c>
      <c r="E17" s="438">
        <v>0</v>
      </c>
      <c r="F17" s="438">
        <v>0</v>
      </c>
      <c r="G17" s="438">
        <f t="shared" si="0"/>
        <v>66093</v>
      </c>
      <c r="H17" s="444">
        <v>254</v>
      </c>
      <c r="I17" s="441">
        <f t="shared" si="1"/>
        <v>1678.7622000000001</v>
      </c>
      <c r="J17" s="441">
        <f t="shared" si="2"/>
        <v>1678.7622000000001</v>
      </c>
      <c r="K17" s="241"/>
      <c r="L17" s="241"/>
      <c r="M17" s="441">
        <f t="shared" si="3"/>
        <v>335.75244000000004</v>
      </c>
      <c r="N17" s="441">
        <f t="shared" si="4"/>
        <v>167.87622000000002</v>
      </c>
      <c r="O17" s="441">
        <f t="shared" si="5"/>
        <v>167.87622000000002</v>
      </c>
      <c r="P17" s="241"/>
      <c r="Q17" s="241"/>
      <c r="R17" s="241"/>
      <c r="S17" s="443">
        <v>117.5</v>
      </c>
      <c r="T17" s="441">
        <f t="shared" si="6"/>
        <v>19.725455850000003</v>
      </c>
      <c r="U17" s="437">
        <v>53301.027999999998</v>
      </c>
      <c r="V17" s="436">
        <v>0</v>
      </c>
      <c r="W17" s="436">
        <v>0</v>
      </c>
      <c r="X17" s="436">
        <v>0</v>
      </c>
      <c r="Y17" s="436"/>
      <c r="Z17" s="436">
        <f t="shared" si="7"/>
        <v>12792.246719999999</v>
      </c>
      <c r="AA17" s="436">
        <f t="shared" si="8"/>
        <v>0</v>
      </c>
      <c r="AB17" s="436">
        <f t="shared" si="9"/>
        <v>0</v>
      </c>
      <c r="AC17" s="436">
        <f t="shared" si="10"/>
        <v>0</v>
      </c>
      <c r="AD17" s="436"/>
      <c r="AE17" s="436">
        <f t="shared" si="11"/>
        <v>66093.274720000001</v>
      </c>
      <c r="AF17" s="436">
        <f t="shared" si="12"/>
        <v>0</v>
      </c>
      <c r="AG17" s="436">
        <f t="shared" si="13"/>
        <v>0</v>
      </c>
      <c r="AH17" s="436">
        <f t="shared" si="14"/>
        <v>0</v>
      </c>
      <c r="AI17" s="436">
        <f t="shared" si="15"/>
        <v>0</v>
      </c>
    </row>
    <row r="18" spans="1:35" x14ac:dyDescent="0.2">
      <c r="A18" s="240">
        <v>8</v>
      </c>
      <c r="B18" s="351" t="s">
        <v>882</v>
      </c>
      <c r="C18" s="438">
        <v>134981</v>
      </c>
      <c r="D18" s="438">
        <v>8458</v>
      </c>
      <c r="E18" s="438">
        <v>0</v>
      </c>
      <c r="F18" s="438">
        <v>44</v>
      </c>
      <c r="G18" s="438">
        <f t="shared" si="0"/>
        <v>143483</v>
      </c>
      <c r="H18" s="444">
        <v>254</v>
      </c>
      <c r="I18" s="441">
        <f t="shared" si="1"/>
        <v>3644.4682000000003</v>
      </c>
      <c r="J18" s="441">
        <f t="shared" si="2"/>
        <v>3644.4682000000003</v>
      </c>
      <c r="K18" s="241"/>
      <c r="L18" s="241"/>
      <c r="M18" s="441">
        <f t="shared" si="3"/>
        <v>728.89364</v>
      </c>
      <c r="N18" s="441">
        <f t="shared" si="4"/>
        <v>364.44682</v>
      </c>
      <c r="O18" s="441">
        <f t="shared" si="5"/>
        <v>364.44682</v>
      </c>
      <c r="P18" s="241"/>
      <c r="Q18" s="241"/>
      <c r="R18" s="241"/>
      <c r="S18" s="443">
        <v>117.5</v>
      </c>
      <c r="T18" s="441">
        <f t="shared" si="6"/>
        <v>42.82250135000001</v>
      </c>
      <c r="U18" s="437">
        <v>108855.996</v>
      </c>
      <c r="V18" s="436">
        <v>6820.8639999999996</v>
      </c>
      <c r="W18" s="436">
        <v>0</v>
      </c>
      <c r="X18" s="436">
        <v>35.787999999999997</v>
      </c>
      <c r="Y18" s="436"/>
      <c r="Z18" s="436">
        <f t="shared" si="7"/>
        <v>26125.439039999997</v>
      </c>
      <c r="AA18" s="436">
        <f t="shared" si="8"/>
        <v>1637.0073599999998</v>
      </c>
      <c r="AB18" s="436">
        <f t="shared" si="9"/>
        <v>0</v>
      </c>
      <c r="AC18" s="436">
        <f t="shared" si="10"/>
        <v>8.5891199999999994</v>
      </c>
      <c r="AD18" s="436"/>
      <c r="AE18" s="436">
        <f t="shared" si="11"/>
        <v>134981.43504000001</v>
      </c>
      <c r="AF18" s="436">
        <f t="shared" si="12"/>
        <v>8457.8713599999992</v>
      </c>
      <c r="AG18" s="436">
        <f t="shared" si="13"/>
        <v>0</v>
      </c>
      <c r="AH18" s="436">
        <f t="shared" si="14"/>
        <v>44.377119999999998</v>
      </c>
      <c r="AI18" s="436">
        <f t="shared" si="15"/>
        <v>0</v>
      </c>
    </row>
    <row r="19" spans="1:35" x14ac:dyDescent="0.2">
      <c r="A19" s="240">
        <v>9</v>
      </c>
      <c r="B19" s="351" t="s">
        <v>883</v>
      </c>
      <c r="C19" s="438">
        <v>185677</v>
      </c>
      <c r="D19" s="438">
        <v>981</v>
      </c>
      <c r="E19" s="438">
        <v>0</v>
      </c>
      <c r="F19" s="438">
        <v>508</v>
      </c>
      <c r="G19" s="438">
        <f t="shared" si="0"/>
        <v>187166</v>
      </c>
      <c r="H19" s="444">
        <v>254</v>
      </c>
      <c r="I19" s="441">
        <f t="shared" si="1"/>
        <v>4754.0164000000004</v>
      </c>
      <c r="J19" s="441">
        <f t="shared" si="2"/>
        <v>4754.0164000000004</v>
      </c>
      <c r="K19" s="241"/>
      <c r="L19" s="241"/>
      <c r="M19" s="441">
        <f t="shared" si="3"/>
        <v>950.80328000000009</v>
      </c>
      <c r="N19" s="441">
        <f t="shared" si="4"/>
        <v>475.40164000000004</v>
      </c>
      <c r="O19" s="441">
        <f t="shared" si="5"/>
        <v>475.40164000000004</v>
      </c>
      <c r="P19" s="241"/>
      <c r="Q19" s="241"/>
      <c r="R19" s="241"/>
      <c r="S19" s="443">
        <v>117.5</v>
      </c>
      <c r="T19" s="441">
        <f t="shared" si="6"/>
        <v>55.859692700000004</v>
      </c>
      <c r="U19" s="437">
        <v>149739.18799999999</v>
      </c>
      <c r="V19" s="436">
        <v>791.48400000000004</v>
      </c>
      <c r="W19" s="436">
        <v>0</v>
      </c>
      <c r="X19" s="436">
        <v>409.71199999999999</v>
      </c>
      <c r="Y19" s="436"/>
      <c r="Z19" s="436">
        <f t="shared" si="7"/>
        <v>35937.405119999996</v>
      </c>
      <c r="AA19" s="436">
        <f t="shared" si="8"/>
        <v>189.95616000000001</v>
      </c>
      <c r="AB19" s="436">
        <f t="shared" si="9"/>
        <v>0</v>
      </c>
      <c r="AC19" s="436">
        <f t="shared" si="10"/>
        <v>98.330879999999993</v>
      </c>
      <c r="AD19" s="436"/>
      <c r="AE19" s="436">
        <f t="shared" si="11"/>
        <v>185676.59311999998</v>
      </c>
      <c r="AF19" s="436">
        <f t="shared" si="12"/>
        <v>981.44016000000011</v>
      </c>
      <c r="AG19" s="436">
        <f t="shared" si="13"/>
        <v>0</v>
      </c>
      <c r="AH19" s="436">
        <f t="shared" si="14"/>
        <v>508.04287999999997</v>
      </c>
      <c r="AI19" s="436">
        <f t="shared" si="15"/>
        <v>0</v>
      </c>
    </row>
    <row r="20" spans="1:35" x14ac:dyDescent="0.2">
      <c r="A20" s="240">
        <v>10</v>
      </c>
      <c r="B20" s="351" t="s">
        <v>884</v>
      </c>
      <c r="C20" s="438">
        <v>63343</v>
      </c>
      <c r="D20" s="438">
        <v>4098</v>
      </c>
      <c r="E20" s="438">
        <v>0</v>
      </c>
      <c r="F20" s="438">
        <v>0</v>
      </c>
      <c r="G20" s="438">
        <f t="shared" si="0"/>
        <v>67441</v>
      </c>
      <c r="H20" s="444">
        <v>254</v>
      </c>
      <c r="I20" s="441">
        <f t="shared" si="1"/>
        <v>1713.0014000000001</v>
      </c>
      <c r="J20" s="441">
        <f t="shared" si="2"/>
        <v>1713.0014000000001</v>
      </c>
      <c r="K20" s="241"/>
      <c r="L20" s="241"/>
      <c r="M20" s="441">
        <f t="shared" si="3"/>
        <v>342.60028000000005</v>
      </c>
      <c r="N20" s="441">
        <f t="shared" si="4"/>
        <v>171.30014000000003</v>
      </c>
      <c r="O20" s="441">
        <f t="shared" si="5"/>
        <v>171.30014000000003</v>
      </c>
      <c r="P20" s="241"/>
      <c r="Q20" s="241"/>
      <c r="R20" s="241"/>
      <c r="S20" s="443">
        <v>117.5</v>
      </c>
      <c r="T20" s="441">
        <f t="shared" si="6"/>
        <v>20.127766449999999</v>
      </c>
      <c r="U20" s="437">
        <v>51082.968000000001</v>
      </c>
      <c r="V20" s="436">
        <v>3305.0079999999998</v>
      </c>
      <c r="W20" s="436">
        <v>0</v>
      </c>
      <c r="X20" s="436">
        <v>0</v>
      </c>
      <c r="Y20" s="436"/>
      <c r="Z20" s="436">
        <f t="shared" si="7"/>
        <v>12259.912319999999</v>
      </c>
      <c r="AA20" s="436">
        <f t="shared" si="8"/>
        <v>793.20191999999997</v>
      </c>
      <c r="AB20" s="436">
        <f t="shared" si="9"/>
        <v>0</v>
      </c>
      <c r="AC20" s="436">
        <f t="shared" si="10"/>
        <v>0</v>
      </c>
      <c r="AD20" s="436"/>
      <c r="AE20" s="436">
        <f t="shared" si="11"/>
        <v>63342.880319999997</v>
      </c>
      <c r="AF20" s="436">
        <f t="shared" si="12"/>
        <v>4098.2099199999993</v>
      </c>
      <c r="AG20" s="436">
        <f t="shared" si="13"/>
        <v>0</v>
      </c>
      <c r="AH20" s="436">
        <f t="shared" si="14"/>
        <v>0</v>
      </c>
      <c r="AI20" s="436">
        <f t="shared" si="15"/>
        <v>0</v>
      </c>
    </row>
    <row r="21" spans="1:35" x14ac:dyDescent="0.2">
      <c r="A21" s="240">
        <v>11</v>
      </c>
      <c r="B21" s="351" t="s">
        <v>885</v>
      </c>
      <c r="C21" s="438">
        <v>107051</v>
      </c>
      <c r="D21" s="438">
        <v>782</v>
      </c>
      <c r="E21" s="438">
        <v>0</v>
      </c>
      <c r="F21" s="438">
        <v>108</v>
      </c>
      <c r="G21" s="438">
        <f t="shared" si="0"/>
        <v>107941</v>
      </c>
      <c r="H21" s="444">
        <v>254</v>
      </c>
      <c r="I21" s="441">
        <f t="shared" si="1"/>
        <v>2741.7013999999999</v>
      </c>
      <c r="J21" s="441">
        <f t="shared" si="2"/>
        <v>2741.7013999999999</v>
      </c>
      <c r="K21" s="241"/>
      <c r="L21" s="241"/>
      <c r="M21" s="441">
        <f t="shared" si="3"/>
        <v>548.34028000000001</v>
      </c>
      <c r="N21" s="441">
        <f t="shared" si="4"/>
        <v>274.17014</v>
      </c>
      <c r="O21" s="441">
        <f t="shared" si="5"/>
        <v>274.17014</v>
      </c>
      <c r="P21" s="241"/>
      <c r="Q21" s="241"/>
      <c r="R21" s="241"/>
      <c r="S21" s="443">
        <v>117.5</v>
      </c>
      <c r="T21" s="441">
        <f t="shared" si="6"/>
        <v>32.214991449999999</v>
      </c>
      <c r="U21" s="437">
        <v>86331.107999999993</v>
      </c>
      <c r="V21" s="436">
        <v>630.74800000000005</v>
      </c>
      <c r="W21" s="436">
        <v>0</v>
      </c>
      <c r="X21" s="436">
        <v>87.067999999999998</v>
      </c>
      <c r="Y21" s="436"/>
      <c r="Z21" s="436">
        <f t="shared" si="7"/>
        <v>20719.465919999999</v>
      </c>
      <c r="AA21" s="436">
        <f t="shared" si="8"/>
        <v>151.37952000000001</v>
      </c>
      <c r="AB21" s="436">
        <f t="shared" si="9"/>
        <v>0</v>
      </c>
      <c r="AC21" s="436">
        <f t="shared" si="10"/>
        <v>20.896319999999999</v>
      </c>
      <c r="AD21" s="436"/>
      <c r="AE21" s="436">
        <f t="shared" si="11"/>
        <v>107050.57392</v>
      </c>
      <c r="AF21" s="436">
        <f t="shared" si="12"/>
        <v>782.12752</v>
      </c>
      <c r="AG21" s="436">
        <f t="shared" si="13"/>
        <v>0</v>
      </c>
      <c r="AH21" s="436">
        <f t="shared" si="14"/>
        <v>107.96432</v>
      </c>
      <c r="AI21" s="436">
        <f t="shared" si="15"/>
        <v>0</v>
      </c>
    </row>
    <row r="22" spans="1:35" x14ac:dyDescent="0.2">
      <c r="A22" s="240">
        <v>12</v>
      </c>
      <c r="B22" s="351" t="s">
        <v>886</v>
      </c>
      <c r="C22" s="438">
        <v>104899</v>
      </c>
      <c r="D22" s="438">
        <v>3383</v>
      </c>
      <c r="E22" s="438">
        <v>0</v>
      </c>
      <c r="F22" s="438">
        <v>1040</v>
      </c>
      <c r="G22" s="438">
        <f t="shared" si="0"/>
        <v>109322</v>
      </c>
      <c r="H22" s="444">
        <v>254</v>
      </c>
      <c r="I22" s="441">
        <f t="shared" si="1"/>
        <v>2776.7788</v>
      </c>
      <c r="J22" s="441">
        <f t="shared" si="2"/>
        <v>2776.7788</v>
      </c>
      <c r="K22" s="241"/>
      <c r="L22" s="241"/>
      <c r="M22" s="441">
        <f t="shared" si="3"/>
        <v>555.35576000000003</v>
      </c>
      <c r="N22" s="441">
        <f t="shared" si="4"/>
        <v>277.67788000000002</v>
      </c>
      <c r="O22" s="441">
        <f t="shared" si="5"/>
        <v>277.67788000000002</v>
      </c>
      <c r="P22" s="241"/>
      <c r="Q22" s="241"/>
      <c r="R22" s="241"/>
      <c r="S22" s="443">
        <v>117.5</v>
      </c>
      <c r="T22" s="441">
        <f t="shared" si="6"/>
        <v>32.627150899999997</v>
      </c>
      <c r="U22" s="437">
        <v>84595.771999999997</v>
      </c>
      <c r="V22" s="436">
        <v>2727.8919999999998</v>
      </c>
      <c r="W22" s="436">
        <v>0</v>
      </c>
      <c r="X22" s="436">
        <v>839.01199999999994</v>
      </c>
      <c r="Y22" s="436"/>
      <c r="Z22" s="436">
        <f t="shared" si="7"/>
        <v>20302.985279999997</v>
      </c>
      <c r="AA22" s="436">
        <f t="shared" si="8"/>
        <v>654.69407999999999</v>
      </c>
      <c r="AB22" s="436">
        <f t="shared" si="9"/>
        <v>0</v>
      </c>
      <c r="AC22" s="436">
        <f t="shared" si="10"/>
        <v>201.36287999999999</v>
      </c>
      <c r="AD22" s="436"/>
      <c r="AE22" s="436">
        <f t="shared" si="11"/>
        <v>104898.75727999999</v>
      </c>
      <c r="AF22" s="436">
        <f t="shared" si="12"/>
        <v>3382.58608</v>
      </c>
      <c r="AG22" s="436">
        <f t="shared" si="13"/>
        <v>0</v>
      </c>
      <c r="AH22" s="436">
        <f t="shared" si="14"/>
        <v>1040.3748799999998</v>
      </c>
      <c r="AI22" s="436">
        <f t="shared" si="15"/>
        <v>0</v>
      </c>
    </row>
    <row r="23" spans="1:35" x14ac:dyDescent="0.2">
      <c r="A23" s="240">
        <v>13</v>
      </c>
      <c r="B23" s="351" t="s">
        <v>887</v>
      </c>
      <c r="C23" s="438">
        <v>45629</v>
      </c>
      <c r="D23" s="438">
        <v>664</v>
      </c>
      <c r="E23" s="438">
        <v>0</v>
      </c>
      <c r="F23" s="438">
        <v>176</v>
      </c>
      <c r="G23" s="438">
        <f t="shared" si="0"/>
        <v>46469</v>
      </c>
      <c r="H23" s="444">
        <v>254</v>
      </c>
      <c r="I23" s="441">
        <f t="shared" si="1"/>
        <v>1180.3126</v>
      </c>
      <c r="J23" s="441">
        <f t="shared" si="2"/>
        <v>1180.3126</v>
      </c>
      <c r="K23" s="241"/>
      <c r="L23" s="241"/>
      <c r="M23" s="441">
        <f t="shared" si="3"/>
        <v>236.06252000000001</v>
      </c>
      <c r="N23" s="441">
        <f t="shared" si="4"/>
        <v>118.03126</v>
      </c>
      <c r="O23" s="441">
        <f t="shared" si="5"/>
        <v>118.03126</v>
      </c>
      <c r="P23" s="241"/>
      <c r="Q23" s="241"/>
      <c r="R23" s="241"/>
      <c r="S23" s="443">
        <v>117.5</v>
      </c>
      <c r="T23" s="441">
        <f t="shared" si="6"/>
        <v>13.86867305</v>
      </c>
      <c r="U23" s="437">
        <v>36797.839999999997</v>
      </c>
      <c r="V23" s="436">
        <v>535.84400000000005</v>
      </c>
      <c r="W23" s="436">
        <v>0</v>
      </c>
      <c r="X23" s="436">
        <v>142.13200000000001</v>
      </c>
      <c r="Y23" s="436"/>
      <c r="Z23" s="436">
        <f t="shared" si="7"/>
        <v>8831.4815999999992</v>
      </c>
      <c r="AA23" s="436">
        <f t="shared" si="8"/>
        <v>128.60256000000001</v>
      </c>
      <c r="AB23" s="436">
        <f t="shared" si="9"/>
        <v>0</v>
      </c>
      <c r="AC23" s="436">
        <f t="shared" si="10"/>
        <v>34.11168</v>
      </c>
      <c r="AD23" s="436"/>
      <c r="AE23" s="436">
        <f t="shared" si="11"/>
        <v>45629.321599999996</v>
      </c>
      <c r="AF23" s="436">
        <f t="shared" si="12"/>
        <v>664.44656000000009</v>
      </c>
      <c r="AG23" s="436">
        <f t="shared" si="13"/>
        <v>0</v>
      </c>
      <c r="AH23" s="436">
        <f t="shared" si="14"/>
        <v>176.24368000000001</v>
      </c>
      <c r="AI23" s="436">
        <f t="shared" si="15"/>
        <v>0</v>
      </c>
    </row>
    <row r="24" spans="1:35" x14ac:dyDescent="0.2">
      <c r="A24" s="240">
        <v>14</v>
      </c>
      <c r="B24" s="351" t="s">
        <v>888</v>
      </c>
      <c r="C24" s="438">
        <v>49686</v>
      </c>
      <c r="D24" s="438">
        <v>266</v>
      </c>
      <c r="E24" s="438">
        <v>0</v>
      </c>
      <c r="F24" s="438">
        <v>328</v>
      </c>
      <c r="G24" s="438">
        <f t="shared" si="0"/>
        <v>50280</v>
      </c>
      <c r="H24" s="444">
        <v>254</v>
      </c>
      <c r="I24" s="441">
        <f t="shared" si="1"/>
        <v>1277.1120000000001</v>
      </c>
      <c r="J24" s="441">
        <f t="shared" si="2"/>
        <v>1277.1120000000001</v>
      </c>
      <c r="K24" s="241"/>
      <c r="L24" s="241"/>
      <c r="M24" s="441">
        <f t="shared" si="3"/>
        <v>255.42240000000001</v>
      </c>
      <c r="N24" s="441">
        <f t="shared" si="4"/>
        <v>127.71120000000001</v>
      </c>
      <c r="O24" s="441">
        <f t="shared" si="5"/>
        <v>127.71120000000001</v>
      </c>
      <c r="P24" s="241"/>
      <c r="Q24" s="241"/>
      <c r="R24" s="241"/>
      <c r="S24" s="443">
        <v>117.5</v>
      </c>
      <c r="T24" s="441">
        <f t="shared" si="6"/>
        <v>15.006066000000001</v>
      </c>
      <c r="U24" s="437">
        <v>40069.22</v>
      </c>
      <c r="V24" s="436">
        <v>214.13200000000001</v>
      </c>
      <c r="W24" s="436">
        <v>0</v>
      </c>
      <c r="X24" s="436">
        <v>264.70800000000003</v>
      </c>
      <c r="Y24" s="436"/>
      <c r="Z24" s="436">
        <f t="shared" si="7"/>
        <v>9616.6128000000008</v>
      </c>
      <c r="AA24" s="436">
        <f t="shared" si="8"/>
        <v>51.391680000000001</v>
      </c>
      <c r="AB24" s="436">
        <f t="shared" si="9"/>
        <v>0</v>
      </c>
      <c r="AC24" s="436">
        <f t="shared" si="10"/>
        <v>63.529920000000004</v>
      </c>
      <c r="AD24" s="436"/>
      <c r="AE24" s="436">
        <f t="shared" si="11"/>
        <v>49685.832800000004</v>
      </c>
      <c r="AF24" s="436">
        <f t="shared" si="12"/>
        <v>265.52368000000001</v>
      </c>
      <c r="AG24" s="436">
        <f t="shared" si="13"/>
        <v>0</v>
      </c>
      <c r="AH24" s="436">
        <f t="shared" si="14"/>
        <v>328.23792000000003</v>
      </c>
      <c r="AI24" s="436">
        <f t="shared" si="15"/>
        <v>0</v>
      </c>
    </row>
    <row r="25" spans="1:35" x14ac:dyDescent="0.2">
      <c r="A25" s="240">
        <v>15</v>
      </c>
      <c r="B25" s="351" t="s">
        <v>924</v>
      </c>
      <c r="C25" s="438">
        <v>107302</v>
      </c>
      <c r="D25" s="438">
        <v>607</v>
      </c>
      <c r="E25" s="438">
        <v>0</v>
      </c>
      <c r="F25" s="438">
        <v>359</v>
      </c>
      <c r="G25" s="438">
        <f t="shared" si="0"/>
        <v>108268</v>
      </c>
      <c r="H25" s="444">
        <v>254</v>
      </c>
      <c r="I25" s="441">
        <f t="shared" si="1"/>
        <v>2750.0072</v>
      </c>
      <c r="J25" s="441">
        <f t="shared" si="2"/>
        <v>2750.0072</v>
      </c>
      <c r="K25" s="241"/>
      <c r="L25" s="241"/>
      <c r="M25" s="441">
        <f t="shared" si="3"/>
        <v>550.00144</v>
      </c>
      <c r="N25" s="441">
        <f t="shared" si="4"/>
        <v>275.00072</v>
      </c>
      <c r="O25" s="441">
        <f t="shared" si="5"/>
        <v>275.00072</v>
      </c>
      <c r="P25" s="241"/>
      <c r="Q25" s="241"/>
      <c r="R25" s="241"/>
      <c r="S25" s="443">
        <v>117.5</v>
      </c>
      <c r="T25" s="441">
        <f t="shared" si="6"/>
        <v>32.312584600000001</v>
      </c>
      <c r="U25" s="437">
        <v>86533.82</v>
      </c>
      <c r="V25" s="436">
        <v>489.63200000000001</v>
      </c>
      <c r="W25" s="436">
        <v>0</v>
      </c>
      <c r="X25" s="436">
        <v>289.36399999999998</v>
      </c>
      <c r="Y25" s="436"/>
      <c r="Z25" s="436">
        <f t="shared" si="7"/>
        <v>20768.1168</v>
      </c>
      <c r="AA25" s="436">
        <f t="shared" si="8"/>
        <v>117.51168</v>
      </c>
      <c r="AB25" s="436">
        <f t="shared" si="9"/>
        <v>0</v>
      </c>
      <c r="AC25" s="436">
        <f t="shared" si="10"/>
        <v>69.447359999999989</v>
      </c>
      <c r="AD25" s="436"/>
      <c r="AE25" s="436">
        <f t="shared" si="11"/>
        <v>107301.93680000001</v>
      </c>
      <c r="AF25" s="436">
        <f t="shared" si="12"/>
        <v>607.14368000000002</v>
      </c>
      <c r="AG25" s="436">
        <f t="shared" si="13"/>
        <v>0</v>
      </c>
      <c r="AH25" s="436">
        <f t="shared" si="14"/>
        <v>358.81135999999998</v>
      </c>
      <c r="AI25" s="436">
        <f t="shared" si="15"/>
        <v>0</v>
      </c>
    </row>
    <row r="26" spans="1:35" x14ac:dyDescent="0.2">
      <c r="A26" s="240">
        <v>16</v>
      </c>
      <c r="B26" s="351" t="s">
        <v>890</v>
      </c>
      <c r="C26" s="438">
        <v>161373</v>
      </c>
      <c r="D26" s="438">
        <v>3339</v>
      </c>
      <c r="E26" s="438">
        <v>0</v>
      </c>
      <c r="F26" s="438">
        <v>647</v>
      </c>
      <c r="G26" s="438">
        <f t="shared" si="0"/>
        <v>165359</v>
      </c>
      <c r="H26" s="444">
        <v>254</v>
      </c>
      <c r="I26" s="441">
        <f t="shared" si="1"/>
        <v>4200.1185999999998</v>
      </c>
      <c r="J26" s="441">
        <f t="shared" si="2"/>
        <v>4200.1185999999998</v>
      </c>
      <c r="K26" s="241"/>
      <c r="L26" s="241"/>
      <c r="M26" s="441">
        <f t="shared" si="3"/>
        <v>840.02372000000003</v>
      </c>
      <c r="N26" s="441">
        <f t="shared" si="4"/>
        <v>420.01186000000001</v>
      </c>
      <c r="O26" s="441">
        <f t="shared" si="5"/>
        <v>420.01186000000001</v>
      </c>
      <c r="P26" s="241"/>
      <c r="Q26" s="241"/>
      <c r="R26" s="241"/>
      <c r="S26" s="443">
        <v>117.5</v>
      </c>
      <c r="T26" s="441">
        <f t="shared" si="6"/>
        <v>49.351393549999997</v>
      </c>
      <c r="U26" s="437">
        <v>130139.81600000001</v>
      </c>
      <c r="V26" s="436">
        <v>2692.9119999999998</v>
      </c>
      <c r="W26" s="436">
        <v>0</v>
      </c>
      <c r="X26" s="436">
        <v>521.92399999999998</v>
      </c>
      <c r="Y26" s="436"/>
      <c r="Z26" s="436">
        <f t="shared" si="7"/>
        <v>31233.555840000001</v>
      </c>
      <c r="AA26" s="436">
        <f t="shared" si="8"/>
        <v>646.29887999999994</v>
      </c>
      <c r="AB26" s="436">
        <f t="shared" si="9"/>
        <v>0</v>
      </c>
      <c r="AC26" s="436">
        <f t="shared" si="10"/>
        <v>125.26176</v>
      </c>
      <c r="AD26" s="436"/>
      <c r="AE26" s="436">
        <f t="shared" si="11"/>
        <v>161373.37184000001</v>
      </c>
      <c r="AF26" s="436">
        <f t="shared" si="12"/>
        <v>3339.2108799999996</v>
      </c>
      <c r="AG26" s="436">
        <f t="shared" si="13"/>
        <v>0</v>
      </c>
      <c r="AH26" s="436">
        <f t="shared" si="14"/>
        <v>647.18575999999996</v>
      </c>
      <c r="AI26" s="436">
        <f t="shared" si="15"/>
        <v>0</v>
      </c>
    </row>
    <row r="27" spans="1:35" x14ac:dyDescent="0.2">
      <c r="A27" s="240">
        <v>17</v>
      </c>
      <c r="B27" s="351" t="s">
        <v>891</v>
      </c>
      <c r="C27" s="438">
        <v>105934</v>
      </c>
      <c r="D27" s="438">
        <v>1973</v>
      </c>
      <c r="E27" s="438">
        <v>0</v>
      </c>
      <c r="F27" s="438">
        <v>199</v>
      </c>
      <c r="G27" s="438">
        <f t="shared" si="0"/>
        <v>108106</v>
      </c>
      <c r="H27" s="444">
        <v>254</v>
      </c>
      <c r="I27" s="441">
        <f t="shared" si="1"/>
        <v>2745.8924000000002</v>
      </c>
      <c r="J27" s="441">
        <f t="shared" si="2"/>
        <v>2745.8924000000002</v>
      </c>
      <c r="K27" s="241"/>
      <c r="L27" s="241"/>
      <c r="M27" s="441">
        <f t="shared" si="3"/>
        <v>549.17848000000004</v>
      </c>
      <c r="N27" s="441">
        <f t="shared" si="4"/>
        <v>274.58924000000002</v>
      </c>
      <c r="O27" s="441">
        <f t="shared" si="5"/>
        <v>274.58924000000002</v>
      </c>
      <c r="P27" s="241"/>
      <c r="Q27" s="241"/>
      <c r="R27" s="241"/>
      <c r="S27" s="443">
        <v>117.5</v>
      </c>
      <c r="T27" s="441">
        <f t="shared" si="6"/>
        <v>32.2642357</v>
      </c>
      <c r="U27" s="437">
        <v>85430.86</v>
      </c>
      <c r="V27" s="436">
        <v>1591.28</v>
      </c>
      <c r="W27" s="436">
        <v>0</v>
      </c>
      <c r="X27" s="436">
        <v>160.43600000000001</v>
      </c>
      <c r="Y27" s="436"/>
      <c r="Z27" s="436">
        <f t="shared" si="7"/>
        <v>20503.4064</v>
      </c>
      <c r="AA27" s="436">
        <f t="shared" si="8"/>
        <v>381.90719999999999</v>
      </c>
      <c r="AB27" s="436">
        <f t="shared" si="9"/>
        <v>0</v>
      </c>
      <c r="AC27" s="436">
        <f t="shared" si="10"/>
        <v>38.504640000000002</v>
      </c>
      <c r="AD27" s="436"/>
      <c r="AE27" s="436">
        <f t="shared" si="11"/>
        <v>105934.26639999999</v>
      </c>
      <c r="AF27" s="436">
        <f t="shared" si="12"/>
        <v>1973.1871999999998</v>
      </c>
      <c r="AG27" s="436">
        <f t="shared" si="13"/>
        <v>0</v>
      </c>
      <c r="AH27" s="436">
        <f t="shared" si="14"/>
        <v>198.94064</v>
      </c>
      <c r="AI27" s="436">
        <f t="shared" si="15"/>
        <v>0</v>
      </c>
    </row>
    <row r="28" spans="1:35" x14ac:dyDescent="0.2">
      <c r="A28" s="240">
        <v>18</v>
      </c>
      <c r="B28" s="351" t="s">
        <v>892</v>
      </c>
      <c r="C28" s="438">
        <v>93693</v>
      </c>
      <c r="D28" s="438">
        <v>105</v>
      </c>
      <c r="E28" s="438">
        <v>0</v>
      </c>
      <c r="F28" s="438">
        <v>37</v>
      </c>
      <c r="G28" s="438">
        <f t="shared" si="0"/>
        <v>93835</v>
      </c>
      <c r="H28" s="444">
        <v>254</v>
      </c>
      <c r="I28" s="441">
        <f t="shared" si="1"/>
        <v>2383.4090000000001</v>
      </c>
      <c r="J28" s="441">
        <f t="shared" si="2"/>
        <v>2383.4090000000001</v>
      </c>
      <c r="K28" s="241"/>
      <c r="L28" s="241"/>
      <c r="M28" s="441">
        <f t="shared" si="3"/>
        <v>476.68180000000007</v>
      </c>
      <c r="N28" s="441">
        <f t="shared" si="4"/>
        <v>238.34090000000003</v>
      </c>
      <c r="O28" s="441">
        <f t="shared" si="5"/>
        <v>238.34090000000003</v>
      </c>
      <c r="P28" s="241"/>
      <c r="Q28" s="241"/>
      <c r="R28" s="241"/>
      <c r="S28" s="443">
        <v>117.5</v>
      </c>
      <c r="T28" s="441">
        <f t="shared" si="6"/>
        <v>28.00505575</v>
      </c>
      <c r="U28" s="437">
        <v>75559.012000000002</v>
      </c>
      <c r="V28" s="436">
        <v>84.284000000000006</v>
      </c>
      <c r="W28" s="436">
        <v>0</v>
      </c>
      <c r="X28" s="436">
        <v>29.908000000000001</v>
      </c>
      <c r="Y28" s="436"/>
      <c r="Z28" s="436">
        <f t="shared" si="7"/>
        <v>18134.16288</v>
      </c>
      <c r="AA28" s="436">
        <f t="shared" si="8"/>
        <v>20.228159999999999</v>
      </c>
      <c r="AB28" s="436">
        <f t="shared" si="9"/>
        <v>0</v>
      </c>
      <c r="AC28" s="436">
        <f t="shared" si="10"/>
        <v>7.1779200000000003</v>
      </c>
      <c r="AD28" s="436"/>
      <c r="AE28" s="436">
        <f t="shared" si="11"/>
        <v>93693.174880000006</v>
      </c>
      <c r="AF28" s="436">
        <f t="shared" si="12"/>
        <v>104.51216000000001</v>
      </c>
      <c r="AG28" s="436">
        <f t="shared" si="13"/>
        <v>0</v>
      </c>
      <c r="AH28" s="436">
        <f t="shared" si="14"/>
        <v>37.085920000000002</v>
      </c>
      <c r="AI28" s="436">
        <f t="shared" si="15"/>
        <v>0</v>
      </c>
    </row>
    <row r="29" spans="1:35" x14ac:dyDescent="0.2">
      <c r="A29" s="240">
        <v>19</v>
      </c>
      <c r="B29" s="351" t="s">
        <v>893</v>
      </c>
      <c r="C29" s="438">
        <v>84763</v>
      </c>
      <c r="D29" s="438">
        <v>1746</v>
      </c>
      <c r="E29" s="438">
        <v>0</v>
      </c>
      <c r="F29" s="438">
        <v>122</v>
      </c>
      <c r="G29" s="438">
        <f t="shared" si="0"/>
        <v>86631</v>
      </c>
      <c r="H29" s="444">
        <v>254</v>
      </c>
      <c r="I29" s="441">
        <f t="shared" si="1"/>
        <v>2200.4274</v>
      </c>
      <c r="J29" s="441">
        <f t="shared" si="2"/>
        <v>2200.4274</v>
      </c>
      <c r="K29" s="241"/>
      <c r="L29" s="241"/>
      <c r="M29" s="441">
        <f t="shared" si="3"/>
        <v>440.08548000000002</v>
      </c>
      <c r="N29" s="441">
        <f t="shared" si="4"/>
        <v>220.04274000000001</v>
      </c>
      <c r="O29" s="441">
        <f t="shared" si="5"/>
        <v>220.04274000000001</v>
      </c>
      <c r="P29" s="241"/>
      <c r="Q29" s="241"/>
      <c r="R29" s="241"/>
      <c r="S29" s="443">
        <v>117.5</v>
      </c>
      <c r="T29" s="441">
        <f t="shared" si="6"/>
        <v>25.855021949999998</v>
      </c>
      <c r="U29" s="437">
        <v>68357.251999999993</v>
      </c>
      <c r="V29" s="436">
        <v>1407.8</v>
      </c>
      <c r="W29" s="436">
        <v>0</v>
      </c>
      <c r="X29" s="436">
        <v>98.456000000000003</v>
      </c>
      <c r="Y29" s="436"/>
      <c r="Z29" s="436">
        <f t="shared" si="7"/>
        <v>16405.740479999997</v>
      </c>
      <c r="AA29" s="436">
        <f t="shared" si="8"/>
        <v>337.87199999999996</v>
      </c>
      <c r="AB29" s="436">
        <f t="shared" si="9"/>
        <v>0</v>
      </c>
      <c r="AC29" s="436">
        <f t="shared" si="10"/>
        <v>23.629439999999999</v>
      </c>
      <c r="AD29" s="436"/>
      <c r="AE29" s="436">
        <f t="shared" si="11"/>
        <v>84762.992479999986</v>
      </c>
      <c r="AF29" s="436">
        <f t="shared" si="12"/>
        <v>1745.672</v>
      </c>
      <c r="AG29" s="436">
        <f t="shared" si="13"/>
        <v>0</v>
      </c>
      <c r="AH29" s="436">
        <f t="shared" si="14"/>
        <v>122.08544000000001</v>
      </c>
      <c r="AI29" s="436">
        <f t="shared" si="15"/>
        <v>0</v>
      </c>
    </row>
    <row r="30" spans="1:35" x14ac:dyDescent="0.2">
      <c r="A30" s="240">
        <v>20</v>
      </c>
      <c r="B30" s="351" t="s">
        <v>894</v>
      </c>
      <c r="C30" s="438">
        <v>61720</v>
      </c>
      <c r="D30" s="438">
        <v>297</v>
      </c>
      <c r="E30" s="438">
        <v>0</v>
      </c>
      <c r="F30" s="438">
        <v>247</v>
      </c>
      <c r="G30" s="438">
        <f t="shared" si="0"/>
        <v>62264</v>
      </c>
      <c r="H30" s="444">
        <v>254</v>
      </c>
      <c r="I30" s="441">
        <f t="shared" si="1"/>
        <v>1581.5056000000002</v>
      </c>
      <c r="J30" s="441">
        <f t="shared" si="2"/>
        <v>1581.5056000000002</v>
      </c>
      <c r="K30" s="241"/>
      <c r="L30" s="241"/>
      <c r="M30" s="441">
        <f t="shared" si="3"/>
        <v>316.30112000000003</v>
      </c>
      <c r="N30" s="441">
        <f t="shared" si="4"/>
        <v>158.15056000000001</v>
      </c>
      <c r="O30" s="441">
        <f t="shared" si="5"/>
        <v>158.15056000000001</v>
      </c>
      <c r="P30" s="241"/>
      <c r="Q30" s="241"/>
      <c r="R30" s="241"/>
      <c r="S30" s="443">
        <v>117.5</v>
      </c>
      <c r="T30" s="441">
        <f t="shared" si="6"/>
        <v>18.582690800000002</v>
      </c>
      <c r="U30" s="437">
        <v>49774.235999999997</v>
      </c>
      <c r="V30" s="436">
        <v>239.87200000000001</v>
      </c>
      <c r="W30" s="436">
        <v>0</v>
      </c>
      <c r="X30" s="436">
        <v>199.416</v>
      </c>
      <c r="Y30" s="436"/>
      <c r="Z30" s="436">
        <f t="shared" si="7"/>
        <v>11945.816639999999</v>
      </c>
      <c r="AA30" s="436">
        <f t="shared" si="8"/>
        <v>57.569279999999999</v>
      </c>
      <c r="AB30" s="436">
        <f t="shared" si="9"/>
        <v>0</v>
      </c>
      <c r="AC30" s="436">
        <f t="shared" si="10"/>
        <v>47.859839999999998</v>
      </c>
      <c r="AD30" s="436"/>
      <c r="AE30" s="436">
        <f t="shared" si="11"/>
        <v>61720.052639999994</v>
      </c>
      <c r="AF30" s="436">
        <f t="shared" si="12"/>
        <v>297.44128000000001</v>
      </c>
      <c r="AG30" s="436">
        <f t="shared" si="13"/>
        <v>0</v>
      </c>
      <c r="AH30" s="436">
        <f t="shared" si="14"/>
        <v>247.27583999999999</v>
      </c>
      <c r="AI30" s="436">
        <f t="shared" si="15"/>
        <v>0</v>
      </c>
    </row>
    <row r="31" spans="1:35" x14ac:dyDescent="0.2">
      <c r="A31" s="240">
        <v>21</v>
      </c>
      <c r="B31" s="351" t="s">
        <v>925</v>
      </c>
      <c r="C31" s="438">
        <v>79966</v>
      </c>
      <c r="D31" s="438">
        <v>1686</v>
      </c>
      <c r="E31" s="438">
        <v>0</v>
      </c>
      <c r="F31" s="438">
        <v>3818</v>
      </c>
      <c r="G31" s="438">
        <f t="shared" si="0"/>
        <v>85470</v>
      </c>
      <c r="H31" s="444">
        <v>254</v>
      </c>
      <c r="I31" s="441">
        <f t="shared" si="1"/>
        <v>2170.9380000000001</v>
      </c>
      <c r="J31" s="441">
        <f t="shared" si="2"/>
        <v>2170.9380000000001</v>
      </c>
      <c r="K31" s="241"/>
      <c r="L31" s="241"/>
      <c r="M31" s="441">
        <f t="shared" si="3"/>
        <v>434.18760000000003</v>
      </c>
      <c r="N31" s="441">
        <f t="shared" si="4"/>
        <v>217.09380000000002</v>
      </c>
      <c r="O31" s="441">
        <f t="shared" si="5"/>
        <v>217.09380000000002</v>
      </c>
      <c r="P31" s="241"/>
      <c r="Q31" s="241"/>
      <c r="R31" s="241"/>
      <c r="S31" s="443">
        <v>117.5</v>
      </c>
      <c r="T31" s="441">
        <f t="shared" si="6"/>
        <v>25.508521500000001</v>
      </c>
      <c r="U31" s="437">
        <v>64488.468000000001</v>
      </c>
      <c r="V31" s="436">
        <v>1359.38</v>
      </c>
      <c r="W31" s="436">
        <v>0</v>
      </c>
      <c r="X31" s="436">
        <v>3078.6840000000002</v>
      </c>
      <c r="Y31" s="436"/>
      <c r="Z31" s="436">
        <f t="shared" si="7"/>
        <v>15477.232319999999</v>
      </c>
      <c r="AA31" s="436">
        <f t="shared" si="8"/>
        <v>326.25120000000004</v>
      </c>
      <c r="AB31" s="436">
        <f t="shared" si="9"/>
        <v>0</v>
      </c>
      <c r="AC31" s="436">
        <f t="shared" si="10"/>
        <v>738.88416000000007</v>
      </c>
      <c r="AD31" s="436"/>
      <c r="AE31" s="436">
        <f t="shared" si="11"/>
        <v>79965.700320000004</v>
      </c>
      <c r="AF31" s="436">
        <f t="shared" si="12"/>
        <v>1685.6312000000003</v>
      </c>
      <c r="AG31" s="436">
        <f t="shared" si="13"/>
        <v>0</v>
      </c>
      <c r="AH31" s="436">
        <f t="shared" si="14"/>
        <v>3817.5681600000003</v>
      </c>
      <c r="AI31" s="436">
        <f t="shared" si="15"/>
        <v>0</v>
      </c>
    </row>
    <row r="32" spans="1:35" x14ac:dyDescent="0.2">
      <c r="A32" s="240">
        <v>22</v>
      </c>
      <c r="B32" s="351" t="s">
        <v>896</v>
      </c>
      <c r="C32" s="438">
        <v>59573</v>
      </c>
      <c r="D32" s="438">
        <v>1928</v>
      </c>
      <c r="E32" s="438">
        <v>0</v>
      </c>
      <c r="F32" s="438">
        <v>3108</v>
      </c>
      <c r="G32" s="438">
        <f t="shared" si="0"/>
        <v>64609</v>
      </c>
      <c r="H32" s="444">
        <v>254</v>
      </c>
      <c r="I32" s="441">
        <f t="shared" si="1"/>
        <v>1641.0686000000001</v>
      </c>
      <c r="J32" s="441">
        <f t="shared" si="2"/>
        <v>1641.0686000000001</v>
      </c>
      <c r="K32" s="241"/>
      <c r="L32" s="241"/>
      <c r="M32" s="441">
        <f t="shared" si="3"/>
        <v>328.21372000000002</v>
      </c>
      <c r="N32" s="441">
        <f t="shared" si="4"/>
        <v>164.10686000000001</v>
      </c>
      <c r="O32" s="441">
        <f t="shared" si="5"/>
        <v>164.10686000000001</v>
      </c>
      <c r="P32" s="241"/>
      <c r="Q32" s="241"/>
      <c r="R32" s="241"/>
      <c r="S32" s="443">
        <v>117.5</v>
      </c>
      <c r="T32" s="441">
        <f t="shared" si="6"/>
        <v>19.28255605</v>
      </c>
      <c r="U32" s="437">
        <v>48043.08</v>
      </c>
      <c r="V32" s="436">
        <v>1555.068</v>
      </c>
      <c r="W32" s="436">
        <v>0</v>
      </c>
      <c r="X32" s="436">
        <v>2506.3200000000002</v>
      </c>
      <c r="Y32" s="436"/>
      <c r="Z32" s="436">
        <f t="shared" si="7"/>
        <v>11530.3392</v>
      </c>
      <c r="AA32" s="436">
        <f t="shared" si="8"/>
        <v>373.21632</v>
      </c>
      <c r="AB32" s="436">
        <f t="shared" si="9"/>
        <v>0</v>
      </c>
      <c r="AC32" s="436">
        <f t="shared" si="10"/>
        <v>601.51679999999999</v>
      </c>
      <c r="AD32" s="436"/>
      <c r="AE32" s="436">
        <f t="shared" si="11"/>
        <v>59573.419200000004</v>
      </c>
      <c r="AF32" s="436">
        <f t="shared" si="12"/>
        <v>1928.28432</v>
      </c>
      <c r="AG32" s="436">
        <f t="shared" si="13"/>
        <v>0</v>
      </c>
      <c r="AH32" s="436">
        <f t="shared" si="14"/>
        <v>3107.8368</v>
      </c>
      <c r="AI32" s="436">
        <f t="shared" si="15"/>
        <v>0</v>
      </c>
    </row>
    <row r="33" spans="1:35" x14ac:dyDescent="0.2">
      <c r="A33" s="240">
        <v>23</v>
      </c>
      <c r="B33" s="351" t="s">
        <v>926</v>
      </c>
      <c r="C33" s="438">
        <v>101931</v>
      </c>
      <c r="D33" s="438">
        <v>2270</v>
      </c>
      <c r="E33" s="438">
        <v>0</v>
      </c>
      <c r="F33" s="438">
        <v>5189</v>
      </c>
      <c r="G33" s="438">
        <f t="shared" si="0"/>
        <v>109390</v>
      </c>
      <c r="H33" s="444">
        <v>254</v>
      </c>
      <c r="I33" s="441">
        <f t="shared" si="1"/>
        <v>2778.5060000000003</v>
      </c>
      <c r="J33" s="441">
        <f t="shared" si="2"/>
        <v>2778.5060000000003</v>
      </c>
      <c r="K33" s="241"/>
      <c r="L33" s="241"/>
      <c r="M33" s="441">
        <f t="shared" si="3"/>
        <v>555.70120000000009</v>
      </c>
      <c r="N33" s="441">
        <f t="shared" si="4"/>
        <v>277.85060000000004</v>
      </c>
      <c r="O33" s="441">
        <f t="shared" si="5"/>
        <v>277.85060000000004</v>
      </c>
      <c r="P33" s="241"/>
      <c r="Q33" s="241"/>
      <c r="R33" s="241"/>
      <c r="S33" s="443">
        <v>117.5</v>
      </c>
      <c r="T33" s="441">
        <f t="shared" si="6"/>
        <v>32.647445500000003</v>
      </c>
      <c r="U33" s="437">
        <v>82202.168000000005</v>
      </c>
      <c r="V33" s="436">
        <v>1830.46</v>
      </c>
      <c r="W33" s="436">
        <v>0</v>
      </c>
      <c r="X33" s="436">
        <v>4185.0680000000002</v>
      </c>
      <c r="Y33" s="436"/>
      <c r="Z33" s="436">
        <f t="shared" si="7"/>
        <v>19728.52032</v>
      </c>
      <c r="AA33" s="436">
        <f t="shared" si="8"/>
        <v>439.31040000000002</v>
      </c>
      <c r="AB33" s="436">
        <f t="shared" si="9"/>
        <v>0</v>
      </c>
      <c r="AC33" s="436">
        <f t="shared" si="10"/>
        <v>1004.41632</v>
      </c>
      <c r="AD33" s="436"/>
      <c r="AE33" s="436">
        <f t="shared" si="11"/>
        <v>101930.68832</v>
      </c>
      <c r="AF33" s="436">
        <f t="shared" si="12"/>
        <v>2269.7703999999999</v>
      </c>
      <c r="AG33" s="436">
        <f t="shared" si="13"/>
        <v>0</v>
      </c>
      <c r="AH33" s="436">
        <f t="shared" si="14"/>
        <v>5189.4843200000005</v>
      </c>
      <c r="AI33" s="436">
        <f t="shared" si="15"/>
        <v>0</v>
      </c>
    </row>
    <row r="34" spans="1:35" x14ac:dyDescent="0.2">
      <c r="A34" s="240">
        <v>24</v>
      </c>
      <c r="B34" s="351" t="s">
        <v>898</v>
      </c>
      <c r="C34" s="438">
        <v>123898</v>
      </c>
      <c r="D34" s="438">
        <v>379</v>
      </c>
      <c r="E34" s="438">
        <v>0</v>
      </c>
      <c r="F34" s="438">
        <v>311</v>
      </c>
      <c r="G34" s="438">
        <f t="shared" si="0"/>
        <v>124588</v>
      </c>
      <c r="H34" s="444">
        <v>254</v>
      </c>
      <c r="I34" s="441">
        <f t="shared" si="1"/>
        <v>3164.5352000000003</v>
      </c>
      <c r="J34" s="441">
        <f t="shared" si="2"/>
        <v>3164.5352000000003</v>
      </c>
      <c r="K34" s="241"/>
      <c r="L34" s="241"/>
      <c r="M34" s="441">
        <f t="shared" si="3"/>
        <v>632.90704000000005</v>
      </c>
      <c r="N34" s="441">
        <f t="shared" si="4"/>
        <v>316.45352000000003</v>
      </c>
      <c r="O34" s="441">
        <f t="shared" si="5"/>
        <v>316.45352000000003</v>
      </c>
      <c r="P34" s="241"/>
      <c r="Q34" s="241"/>
      <c r="R34" s="241"/>
      <c r="S34" s="443">
        <v>117.5</v>
      </c>
      <c r="T34" s="441">
        <f t="shared" si="6"/>
        <v>37.183288600000004</v>
      </c>
      <c r="U34" s="437">
        <v>99917.432000000001</v>
      </c>
      <c r="V34" s="436">
        <v>305.98399999999998</v>
      </c>
      <c r="W34" s="436">
        <v>0</v>
      </c>
      <c r="X34" s="436">
        <v>250.72399999999999</v>
      </c>
      <c r="Y34" s="436"/>
      <c r="Z34" s="436">
        <f t="shared" si="7"/>
        <v>23980.183679999998</v>
      </c>
      <c r="AA34" s="436">
        <f t="shared" si="8"/>
        <v>73.436159999999987</v>
      </c>
      <c r="AB34" s="436">
        <f t="shared" si="9"/>
        <v>0</v>
      </c>
      <c r="AC34" s="436">
        <f t="shared" si="10"/>
        <v>60.173759999999994</v>
      </c>
      <c r="AD34" s="436"/>
      <c r="AE34" s="436">
        <f t="shared" si="11"/>
        <v>123897.61568</v>
      </c>
      <c r="AF34" s="436">
        <f t="shared" si="12"/>
        <v>379.42015999999995</v>
      </c>
      <c r="AG34" s="436">
        <f t="shared" si="13"/>
        <v>0</v>
      </c>
      <c r="AH34" s="436">
        <f t="shared" si="14"/>
        <v>310.89776000000001</v>
      </c>
      <c r="AI34" s="436">
        <f t="shared" si="15"/>
        <v>0</v>
      </c>
    </row>
    <row r="35" spans="1:35" s="230" customFormat="1" x14ac:dyDescent="0.2">
      <c r="A35" s="1092" t="s">
        <v>15</v>
      </c>
      <c r="B35" s="1093"/>
      <c r="C35" s="439">
        <f>SUM(C11:C34)</f>
        <v>2138486</v>
      </c>
      <c r="D35" s="439">
        <f>SUM(D11:D34)</f>
        <v>139732</v>
      </c>
      <c r="E35" s="439">
        <f>SUM(E11:E34)</f>
        <v>0</v>
      </c>
      <c r="F35" s="439">
        <f>SUM(F11:F34)</f>
        <v>16564</v>
      </c>
      <c r="G35" s="439">
        <f>SUM(C35:F35)</f>
        <v>2294782</v>
      </c>
      <c r="H35" s="444">
        <v>254</v>
      </c>
      <c r="I35" s="442">
        <f>SUM(I11:I34)</f>
        <v>58287.462800000001</v>
      </c>
      <c r="J35" s="442">
        <f>SUM(J11:J34)</f>
        <v>58287.462800000001</v>
      </c>
      <c r="K35" s="433"/>
      <c r="L35" s="433"/>
      <c r="M35" s="442">
        <f>SUM(M11:M34)</f>
        <v>11657.492560000001</v>
      </c>
      <c r="N35" s="442">
        <f>SUM(N11:N34)</f>
        <v>5828.7462800000003</v>
      </c>
      <c r="O35" s="442">
        <f>SUM(O11:O34)</f>
        <v>5828.7462800000003</v>
      </c>
      <c r="P35" s="433"/>
      <c r="Q35" s="433"/>
      <c r="R35" s="433"/>
      <c r="S35" s="443">
        <v>117.5</v>
      </c>
      <c r="T35" s="442">
        <f>SUM(T11:T34)</f>
        <v>684.87768790000007</v>
      </c>
      <c r="U35" s="242"/>
    </row>
    <row r="36" spans="1:35" x14ac:dyDescent="0.2">
      <c r="A36" s="362"/>
      <c r="B36" s="362"/>
      <c r="C36" s="362"/>
      <c r="D36" s="362"/>
      <c r="E36" s="362"/>
      <c r="F36" s="362"/>
      <c r="G36" s="362"/>
      <c r="H36" s="362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</row>
    <row r="37" spans="1:35" x14ac:dyDescent="0.2">
      <c r="A37" s="580" t="s">
        <v>7</v>
      </c>
      <c r="B37" s="581"/>
      <c r="C37" s="581"/>
      <c r="D37" s="362"/>
      <c r="E37" s="362"/>
      <c r="F37" s="362"/>
      <c r="G37" s="582"/>
      <c r="H37" s="362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</row>
    <row r="38" spans="1:35" x14ac:dyDescent="0.2">
      <c r="A38" s="583" t="s">
        <v>8</v>
      </c>
      <c r="B38" s="583"/>
      <c r="C38" s="583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</row>
    <row r="39" spans="1:35" x14ac:dyDescent="0.2">
      <c r="A39" s="583" t="s">
        <v>9</v>
      </c>
      <c r="B39" s="583"/>
      <c r="C39" s="583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</row>
    <row r="40" spans="1:35" x14ac:dyDescent="0.2">
      <c r="A40" s="583"/>
      <c r="B40" s="583"/>
      <c r="C40" s="583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</row>
    <row r="41" spans="1:35" x14ac:dyDescent="0.2">
      <c r="A41" s="669"/>
      <c r="B41" s="669"/>
      <c r="C41" s="669"/>
      <c r="D41" s="669"/>
      <c r="E41" s="669"/>
      <c r="F41" s="669"/>
      <c r="G41" s="688"/>
      <c r="H41" s="687"/>
      <c r="I41" s="688"/>
      <c r="J41" s="688"/>
      <c r="K41" s="688"/>
      <c r="L41" s="688"/>
      <c r="M41" s="688"/>
      <c r="N41" s="688"/>
      <c r="O41" s="688"/>
      <c r="P41" s="688"/>
      <c r="Q41" s="1086" t="s">
        <v>1107</v>
      </c>
      <c r="R41" s="1086"/>
      <c r="S41" s="688"/>
      <c r="T41" s="579"/>
    </row>
    <row r="42" spans="1:35" ht="16.5" customHeight="1" x14ac:dyDescent="0.2">
      <c r="A42" s="669"/>
      <c r="B42" s="669"/>
      <c r="C42" s="669"/>
      <c r="D42" s="669"/>
      <c r="E42" s="669"/>
      <c r="F42" s="669"/>
      <c r="G42" s="669"/>
      <c r="H42" s="688"/>
      <c r="I42" s="1086" t="s">
        <v>1108</v>
      </c>
      <c r="J42" s="1086"/>
      <c r="K42" s="1086"/>
      <c r="L42" s="1086"/>
      <c r="M42" s="1086"/>
      <c r="N42" s="1086"/>
      <c r="O42" s="1086"/>
      <c r="P42" s="1086"/>
      <c r="Q42" s="1086"/>
      <c r="R42" s="1086"/>
      <c r="S42" s="1086"/>
      <c r="T42" s="567"/>
    </row>
    <row r="43" spans="1:35" ht="12.75" customHeight="1" x14ac:dyDescent="0.2">
      <c r="A43" s="669"/>
      <c r="B43" s="669"/>
      <c r="C43" s="669"/>
      <c r="D43" s="669"/>
      <c r="E43" s="669"/>
      <c r="F43" s="669"/>
      <c r="G43" s="669"/>
      <c r="H43" s="1086" t="s">
        <v>1113</v>
      </c>
      <c r="I43" s="1086"/>
      <c r="J43" s="1086"/>
      <c r="K43" s="1086"/>
      <c r="L43" s="1086"/>
      <c r="M43" s="1086"/>
      <c r="N43" s="1086"/>
      <c r="O43" s="1086"/>
      <c r="P43" s="1086"/>
      <c r="Q43" s="1086"/>
      <c r="R43" s="1086"/>
      <c r="S43" s="1086"/>
      <c r="T43" s="567"/>
    </row>
    <row r="44" spans="1:35" ht="12.75" customHeight="1" x14ac:dyDescent="0.2">
      <c r="A44" s="688"/>
      <c r="B44" s="669"/>
      <c r="C44" s="669"/>
      <c r="D44" s="669"/>
      <c r="E44" s="669"/>
      <c r="F44" s="669"/>
      <c r="G44" s="669"/>
      <c r="H44" s="687"/>
      <c r="I44" s="688"/>
      <c r="J44" s="688"/>
      <c r="K44" s="688"/>
      <c r="L44" s="688"/>
      <c r="M44" s="688"/>
      <c r="N44" s="688"/>
      <c r="O44" s="688"/>
      <c r="P44" s="688"/>
      <c r="Q44" s="688" t="s">
        <v>1115</v>
      </c>
      <c r="R44" s="688"/>
      <c r="S44" s="688"/>
      <c r="T44" s="567"/>
    </row>
    <row r="45" spans="1:35" x14ac:dyDescent="0.2">
      <c r="A45" s="583"/>
      <c r="B45" s="583"/>
      <c r="C45" s="579"/>
      <c r="D45" s="579"/>
      <c r="E45" s="579"/>
      <c r="F45" s="579"/>
      <c r="G45" s="579"/>
      <c r="H45" s="579"/>
      <c r="I45" s="579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</row>
    <row r="47" spans="1:35" x14ac:dyDescent="0.2">
      <c r="A47" s="1081"/>
      <c r="B47" s="1081"/>
      <c r="C47" s="1081"/>
      <c r="D47" s="1081"/>
      <c r="E47" s="1081"/>
      <c r="F47" s="1081"/>
      <c r="G47" s="1081"/>
      <c r="H47" s="1081"/>
      <c r="I47" s="1081"/>
      <c r="J47" s="1081"/>
      <c r="K47" s="1081"/>
      <c r="L47" s="1081"/>
      <c r="M47" s="1081"/>
      <c r="N47" s="1081"/>
      <c r="O47" s="1081"/>
      <c r="P47" s="1081"/>
      <c r="Q47" s="1081"/>
      <c r="R47" s="1081"/>
      <c r="S47" s="1081"/>
      <c r="T47" s="1081"/>
    </row>
  </sheetData>
  <mergeCells count="19">
    <mergeCell ref="G1:I1"/>
    <mergeCell ref="A6:T6"/>
    <mergeCell ref="Q1:T1"/>
    <mergeCell ref="A4:T5"/>
    <mergeCell ref="H43:S43"/>
    <mergeCell ref="A35:B35"/>
    <mergeCell ref="H8:H9"/>
    <mergeCell ref="A2:T2"/>
    <mergeCell ref="A3:T3"/>
    <mergeCell ref="M8:R8"/>
    <mergeCell ref="A47:T47"/>
    <mergeCell ref="L7:T7"/>
    <mergeCell ref="A8:A9"/>
    <mergeCell ref="B8:B9"/>
    <mergeCell ref="C8:G8"/>
    <mergeCell ref="I8:L8"/>
    <mergeCell ref="I42:S42"/>
    <mergeCell ref="Q41:R41"/>
    <mergeCell ref="S8:T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view="pageBreakPreview" topLeftCell="A19" zoomScaleNormal="70" zoomScaleSheetLayoutView="100" workbookViewId="0">
      <selection activeCell="A41" sqref="A41:S44"/>
    </sheetView>
  </sheetViews>
  <sheetFormatPr defaultRowHeight="12.75" x14ac:dyDescent="0.2"/>
  <cols>
    <col min="1" max="1" width="5.5703125" style="236" customWidth="1"/>
    <col min="2" max="2" width="15" style="236" customWidth="1"/>
    <col min="3" max="3" width="10.28515625" style="236" customWidth="1"/>
    <col min="4" max="4" width="8.42578125" style="236" customWidth="1"/>
    <col min="5" max="6" width="9.85546875" style="236" customWidth="1"/>
    <col min="7" max="7" width="10.85546875" style="236" customWidth="1"/>
    <col min="8" max="8" width="12.85546875" style="236" customWidth="1"/>
    <col min="9" max="10" width="10" style="228" customWidth="1"/>
    <col min="11" max="11" width="8" style="228" customWidth="1"/>
    <col min="12" max="13" width="8.140625" style="228" customWidth="1"/>
    <col min="14" max="15" width="10" style="228" customWidth="1"/>
    <col min="16" max="18" width="8.140625" style="228" customWidth="1"/>
    <col min="19" max="19" width="10.42578125" style="228" customWidth="1"/>
    <col min="20" max="20" width="12.5703125" style="228" customWidth="1"/>
    <col min="21" max="16384" width="9.140625" style="228"/>
  </cols>
  <sheetData>
    <row r="1" spans="1:34" ht="12.75" customHeight="1" x14ac:dyDescent="0.2">
      <c r="G1" s="1088"/>
      <c r="H1" s="1088"/>
      <c r="I1" s="1088"/>
      <c r="J1" s="236"/>
      <c r="K1" s="236"/>
      <c r="L1" s="236"/>
      <c r="M1" s="236"/>
      <c r="N1" s="236"/>
      <c r="O1" s="236"/>
      <c r="P1" s="236"/>
      <c r="Q1" s="236"/>
      <c r="R1" s="236"/>
      <c r="S1" s="1090" t="s">
        <v>529</v>
      </c>
      <c r="T1" s="1090"/>
    </row>
    <row r="2" spans="1:34" ht="15.75" x14ac:dyDescent="0.25">
      <c r="A2" s="1096" t="s">
        <v>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</row>
    <row r="3" spans="1:34" ht="18" x14ac:dyDescent="0.25">
      <c r="A3" s="1097" t="s">
        <v>694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</row>
    <row r="4" spans="1:34" ht="12.75" customHeight="1" x14ac:dyDescent="0.2">
      <c r="A4" s="1091" t="s">
        <v>702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</row>
    <row r="5" spans="1:34" s="229" customFormat="1" ht="7.5" customHeight="1" x14ac:dyDescent="0.2">
      <c r="A5" s="1091"/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</row>
    <row r="6" spans="1:34" x14ac:dyDescent="0.2">
      <c r="A6" s="1089"/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</row>
    <row r="7" spans="1:34" x14ac:dyDescent="0.2">
      <c r="A7" s="191" t="s">
        <v>1098</v>
      </c>
      <c r="B7" s="191"/>
      <c r="H7" s="237"/>
      <c r="I7" s="236"/>
      <c r="J7" s="236"/>
      <c r="K7" s="236"/>
      <c r="L7" s="1082"/>
      <c r="M7" s="1082"/>
      <c r="N7" s="1082"/>
      <c r="O7" s="1082"/>
      <c r="P7" s="1082"/>
      <c r="Q7" s="1082"/>
      <c r="R7" s="1082"/>
      <c r="S7" s="1082"/>
      <c r="T7" s="1082"/>
    </row>
    <row r="8" spans="1:34" ht="52.5" customHeight="1" x14ac:dyDescent="0.2">
      <c r="A8" s="999" t="s">
        <v>1</v>
      </c>
      <c r="B8" s="999" t="s">
        <v>2</v>
      </c>
      <c r="C8" s="1083" t="s">
        <v>481</v>
      </c>
      <c r="D8" s="1084"/>
      <c r="E8" s="1084"/>
      <c r="F8" s="1084"/>
      <c r="G8" s="1085"/>
      <c r="H8" s="1094" t="s">
        <v>80</v>
      </c>
      <c r="I8" s="1083" t="s">
        <v>81</v>
      </c>
      <c r="J8" s="1084"/>
      <c r="K8" s="1084"/>
      <c r="L8" s="1085"/>
      <c r="M8" s="999" t="s">
        <v>646</v>
      </c>
      <c r="N8" s="999"/>
      <c r="O8" s="999"/>
      <c r="P8" s="999"/>
      <c r="Q8" s="999"/>
      <c r="R8" s="999"/>
      <c r="S8" s="1087" t="s">
        <v>842</v>
      </c>
      <c r="T8" s="1087"/>
    </row>
    <row r="9" spans="1:34" ht="44.45" customHeight="1" x14ac:dyDescent="0.2">
      <c r="A9" s="999"/>
      <c r="B9" s="999"/>
      <c r="C9" s="238" t="s">
        <v>4</v>
      </c>
      <c r="D9" s="238" t="s">
        <v>5</v>
      </c>
      <c r="E9" s="238" t="s">
        <v>350</v>
      </c>
      <c r="F9" s="239" t="s">
        <v>95</v>
      </c>
      <c r="G9" s="239" t="s">
        <v>219</v>
      </c>
      <c r="H9" s="1095"/>
      <c r="I9" s="238" t="s">
        <v>85</v>
      </c>
      <c r="J9" s="238" t="s">
        <v>17</v>
      </c>
      <c r="K9" s="238" t="s">
        <v>38</v>
      </c>
      <c r="L9" s="238" t="s">
        <v>681</v>
      </c>
      <c r="M9" s="238" t="s">
        <v>15</v>
      </c>
      <c r="N9" s="238" t="s">
        <v>983</v>
      </c>
      <c r="O9" s="238" t="s">
        <v>984</v>
      </c>
      <c r="P9" s="238" t="s">
        <v>649</v>
      </c>
      <c r="Q9" s="238" t="s">
        <v>650</v>
      </c>
      <c r="R9" s="238" t="s">
        <v>651</v>
      </c>
      <c r="S9" s="238" t="s">
        <v>855</v>
      </c>
      <c r="T9" s="238" t="s">
        <v>853</v>
      </c>
    </row>
    <row r="10" spans="1:34" s="290" customFormat="1" x14ac:dyDescent="0.2">
      <c r="A10" s="288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7</v>
      </c>
      <c r="H10" s="288">
        <v>8</v>
      </c>
      <c r="I10" s="288">
        <v>9</v>
      </c>
      <c r="J10" s="288">
        <v>10</v>
      </c>
      <c r="K10" s="288">
        <v>11</v>
      </c>
      <c r="L10" s="288">
        <v>12</v>
      </c>
      <c r="M10" s="288">
        <v>13</v>
      </c>
      <c r="N10" s="288">
        <v>14</v>
      </c>
      <c r="O10" s="288">
        <v>15</v>
      </c>
      <c r="P10" s="288">
        <v>16</v>
      </c>
      <c r="Q10" s="288">
        <v>17</v>
      </c>
      <c r="R10" s="288">
        <v>18</v>
      </c>
      <c r="S10" s="288">
        <v>19</v>
      </c>
      <c r="T10" s="288">
        <v>20</v>
      </c>
    </row>
    <row r="11" spans="1:34" x14ac:dyDescent="0.2">
      <c r="A11" s="240">
        <v>1</v>
      </c>
      <c r="B11" s="351" t="s">
        <v>875</v>
      </c>
      <c r="C11" s="438">
        <v>49408</v>
      </c>
      <c r="D11" s="438">
        <v>13592</v>
      </c>
      <c r="E11" s="241"/>
      <c r="F11" s="438">
        <v>80</v>
      </c>
      <c r="G11" s="438">
        <f>SUM(C11:F11)</f>
        <v>63080</v>
      </c>
      <c r="H11" s="444">
        <v>254</v>
      </c>
      <c r="I11" s="441">
        <f>J11</f>
        <v>2403.348</v>
      </c>
      <c r="J11" s="441">
        <f>G11*H11*0.00015</f>
        <v>2403.348</v>
      </c>
      <c r="K11" s="241"/>
      <c r="L11" s="241"/>
      <c r="M11" s="445">
        <f>N11+O11</f>
        <v>480.6696</v>
      </c>
      <c r="N11" s="445">
        <f>G11*H11*0.000015</f>
        <v>240.3348</v>
      </c>
      <c r="O11" s="445">
        <f>N11</f>
        <v>240.3348</v>
      </c>
      <c r="P11" s="241"/>
      <c r="Q11" s="241"/>
      <c r="R11" s="241"/>
      <c r="S11" s="441">
        <v>117.5</v>
      </c>
      <c r="T11" s="441">
        <f>J11*1175/100000</f>
        <v>28.239338999999998</v>
      </c>
      <c r="U11" s="437">
        <v>42229.135999999999</v>
      </c>
      <c r="V11" s="436">
        <v>11616.871999999999</v>
      </c>
      <c r="W11" s="436">
        <v>546.2421875</v>
      </c>
      <c r="X11" s="436">
        <v>68.180000000000007</v>
      </c>
      <c r="Z11" s="436">
        <f>17/100*U11</f>
        <v>7178.9531200000001</v>
      </c>
      <c r="AA11" s="436">
        <f>17/100*V11</f>
        <v>1974.86824</v>
      </c>
      <c r="AB11" s="436">
        <f>17/100*W11</f>
        <v>92.861171875000011</v>
      </c>
      <c r="AC11" s="436">
        <f>17/100*X11</f>
        <v>11.590600000000002</v>
      </c>
      <c r="AE11" s="436">
        <f>U11+Z11</f>
        <v>49408.089119999997</v>
      </c>
      <c r="AF11" s="436">
        <f>V11+AA11</f>
        <v>13591.740239999999</v>
      </c>
      <c r="AG11" s="436">
        <f>W11+AB11</f>
        <v>639.10335937499997</v>
      </c>
      <c r="AH11" s="436">
        <f>X11+AC11</f>
        <v>79.770600000000002</v>
      </c>
    </row>
    <row r="12" spans="1:34" x14ac:dyDescent="0.2">
      <c r="A12" s="240">
        <v>2</v>
      </c>
      <c r="B12" s="351" t="s">
        <v>876</v>
      </c>
      <c r="C12" s="438">
        <v>11677</v>
      </c>
      <c r="D12" s="438">
        <v>5878</v>
      </c>
      <c r="E12" s="241"/>
      <c r="F12" s="438">
        <v>0</v>
      </c>
      <c r="G12" s="438">
        <f t="shared" ref="G12:G35" si="0">SUM(C12:F12)</f>
        <v>17555</v>
      </c>
      <c r="H12" s="444">
        <v>254</v>
      </c>
      <c r="I12" s="441">
        <f t="shared" ref="I12:I34" si="1">J12</f>
        <v>668.8454999999999</v>
      </c>
      <c r="J12" s="441">
        <f t="shared" ref="J12:J34" si="2">G12*H12*0.00015</f>
        <v>668.8454999999999</v>
      </c>
      <c r="K12" s="241"/>
      <c r="L12" s="241"/>
      <c r="M12" s="445">
        <f t="shared" ref="M12:M34" si="3">N12+O12</f>
        <v>133.76910000000001</v>
      </c>
      <c r="N12" s="445">
        <f t="shared" ref="N12:N34" si="4">G12*H12*0.000015</f>
        <v>66.884550000000004</v>
      </c>
      <c r="O12" s="445">
        <f t="shared" ref="O12:O34" si="5">N12</f>
        <v>66.884550000000004</v>
      </c>
      <c r="P12" s="241"/>
      <c r="Q12" s="241"/>
      <c r="R12" s="241"/>
      <c r="S12" s="441">
        <v>117.5</v>
      </c>
      <c r="T12" s="441">
        <f t="shared" ref="T12:T34" si="6">J12*1175/100000</f>
        <v>7.858934624999999</v>
      </c>
      <c r="U12" s="437">
        <v>9980.5040000000008</v>
      </c>
      <c r="V12" s="436">
        <v>5023.924</v>
      </c>
      <c r="W12" s="436">
        <v>0</v>
      </c>
      <c r="X12" s="436">
        <v>0</v>
      </c>
      <c r="Z12" s="436">
        <f t="shared" ref="Z12:Z34" si="7">17/100*U12</f>
        <v>1696.6856800000003</v>
      </c>
      <c r="AA12" s="436">
        <f t="shared" ref="AA12:AA34" si="8">17/100*V12</f>
        <v>854.06708000000003</v>
      </c>
      <c r="AB12" s="436">
        <f t="shared" ref="AB12:AB34" si="9">17/100*W12</f>
        <v>0</v>
      </c>
      <c r="AC12" s="436">
        <f t="shared" ref="AC12:AC34" si="10">17/100*X12</f>
        <v>0</v>
      </c>
      <c r="AE12" s="436">
        <f t="shared" ref="AE12:AE34" si="11">U12+Z12</f>
        <v>11677.189680000001</v>
      </c>
      <c r="AF12" s="436">
        <f t="shared" ref="AF12:AF34" si="12">V12+AA12</f>
        <v>5877.9910799999998</v>
      </c>
      <c r="AG12" s="436">
        <f t="shared" ref="AG12:AG34" si="13">W12+AB12</f>
        <v>0</v>
      </c>
      <c r="AH12" s="436">
        <f t="shared" ref="AH12:AH34" si="14">X12+AC12</f>
        <v>0</v>
      </c>
    </row>
    <row r="13" spans="1:34" x14ac:dyDescent="0.2">
      <c r="A13" s="240">
        <v>3</v>
      </c>
      <c r="B13" s="351" t="s">
        <v>877</v>
      </c>
      <c r="C13" s="438">
        <v>15005</v>
      </c>
      <c r="D13" s="438">
        <v>1088</v>
      </c>
      <c r="E13" s="241"/>
      <c r="F13" s="438">
        <v>0</v>
      </c>
      <c r="G13" s="438">
        <f t="shared" si="0"/>
        <v>16093</v>
      </c>
      <c r="H13" s="444">
        <v>254</v>
      </c>
      <c r="I13" s="441">
        <f t="shared" si="1"/>
        <v>613.14329999999995</v>
      </c>
      <c r="J13" s="441">
        <f t="shared" si="2"/>
        <v>613.14329999999995</v>
      </c>
      <c r="K13" s="241"/>
      <c r="L13" s="241"/>
      <c r="M13" s="445">
        <f t="shared" si="3"/>
        <v>122.62866</v>
      </c>
      <c r="N13" s="445">
        <f t="shared" si="4"/>
        <v>61.314329999999998</v>
      </c>
      <c r="O13" s="445">
        <f t="shared" si="5"/>
        <v>61.314329999999998</v>
      </c>
      <c r="P13" s="241"/>
      <c r="Q13" s="241"/>
      <c r="R13" s="241"/>
      <c r="S13" s="441">
        <v>117.5</v>
      </c>
      <c r="T13" s="441">
        <f t="shared" si="6"/>
        <v>7.2044337749999992</v>
      </c>
      <c r="U13" s="437">
        <v>12824.392</v>
      </c>
      <c r="V13" s="436">
        <v>930.03599999999994</v>
      </c>
      <c r="W13" s="436">
        <v>0</v>
      </c>
      <c r="X13" s="436">
        <v>0</v>
      </c>
      <c r="Z13" s="436">
        <f t="shared" si="7"/>
        <v>2180.1466399999999</v>
      </c>
      <c r="AA13" s="436">
        <f t="shared" si="8"/>
        <v>158.10612</v>
      </c>
      <c r="AB13" s="436">
        <f t="shared" si="9"/>
        <v>0</v>
      </c>
      <c r="AC13" s="436">
        <f t="shared" si="10"/>
        <v>0</v>
      </c>
      <c r="AE13" s="436">
        <f t="shared" si="11"/>
        <v>15004.538639999999</v>
      </c>
      <c r="AF13" s="436">
        <f t="shared" si="12"/>
        <v>1088.14212</v>
      </c>
      <c r="AG13" s="436">
        <f t="shared" si="13"/>
        <v>0</v>
      </c>
      <c r="AH13" s="436">
        <f t="shared" si="14"/>
        <v>0</v>
      </c>
    </row>
    <row r="14" spans="1:34" x14ac:dyDescent="0.2">
      <c r="A14" s="240">
        <v>4</v>
      </c>
      <c r="B14" s="351" t="s">
        <v>878</v>
      </c>
      <c r="C14" s="438">
        <v>33220</v>
      </c>
      <c r="D14" s="438">
        <v>7947</v>
      </c>
      <c r="E14" s="241"/>
      <c r="F14" s="438">
        <v>71</v>
      </c>
      <c r="G14" s="438">
        <f t="shared" si="0"/>
        <v>41238</v>
      </c>
      <c r="H14" s="444">
        <v>254</v>
      </c>
      <c r="I14" s="441">
        <f t="shared" si="1"/>
        <v>1571.1677999999999</v>
      </c>
      <c r="J14" s="441">
        <f t="shared" si="2"/>
        <v>1571.1677999999999</v>
      </c>
      <c r="K14" s="241"/>
      <c r="L14" s="241"/>
      <c r="M14" s="445">
        <f t="shared" si="3"/>
        <v>314.23356000000001</v>
      </c>
      <c r="N14" s="445">
        <f t="shared" si="4"/>
        <v>157.11678000000001</v>
      </c>
      <c r="O14" s="445">
        <f t="shared" si="5"/>
        <v>157.11678000000001</v>
      </c>
      <c r="P14" s="241"/>
      <c r="Q14" s="241"/>
      <c r="R14" s="241"/>
      <c r="S14" s="441">
        <v>117.5</v>
      </c>
      <c r="T14" s="441">
        <f t="shared" si="6"/>
        <v>18.461221649999999</v>
      </c>
      <c r="U14" s="437">
        <v>28392.78</v>
      </c>
      <c r="V14" s="436">
        <v>6792.4160000000002</v>
      </c>
      <c r="W14" s="436">
        <v>0</v>
      </c>
      <c r="X14" s="436">
        <v>60.94</v>
      </c>
      <c r="Z14" s="436">
        <f t="shared" si="7"/>
        <v>4826.7726000000002</v>
      </c>
      <c r="AA14" s="436">
        <f t="shared" si="8"/>
        <v>1154.71072</v>
      </c>
      <c r="AB14" s="436">
        <f t="shared" si="9"/>
        <v>0</v>
      </c>
      <c r="AC14" s="436">
        <f t="shared" si="10"/>
        <v>10.3598</v>
      </c>
      <c r="AE14" s="436">
        <f t="shared" si="11"/>
        <v>33219.552599999995</v>
      </c>
      <c r="AF14" s="436">
        <f t="shared" si="12"/>
        <v>7947.1267200000002</v>
      </c>
      <c r="AG14" s="436">
        <f t="shared" si="13"/>
        <v>0</v>
      </c>
      <c r="AH14" s="436">
        <f t="shared" si="14"/>
        <v>71.299800000000005</v>
      </c>
    </row>
    <row r="15" spans="1:34" x14ac:dyDescent="0.2">
      <c r="A15" s="240">
        <v>5</v>
      </c>
      <c r="B15" s="351" t="s">
        <v>879</v>
      </c>
      <c r="C15" s="438">
        <v>13381</v>
      </c>
      <c r="D15" s="438">
        <v>9787</v>
      </c>
      <c r="E15" s="241"/>
      <c r="F15" s="438">
        <v>0</v>
      </c>
      <c r="G15" s="438">
        <f t="shared" si="0"/>
        <v>23168</v>
      </c>
      <c r="H15" s="444">
        <v>254</v>
      </c>
      <c r="I15" s="441">
        <f t="shared" si="1"/>
        <v>882.70079999999996</v>
      </c>
      <c r="J15" s="441">
        <f t="shared" si="2"/>
        <v>882.70079999999996</v>
      </c>
      <c r="K15" s="241"/>
      <c r="L15" s="241"/>
      <c r="M15" s="445">
        <f t="shared" si="3"/>
        <v>176.54016000000001</v>
      </c>
      <c r="N15" s="445">
        <f t="shared" si="4"/>
        <v>88.270080000000007</v>
      </c>
      <c r="O15" s="445">
        <f t="shared" si="5"/>
        <v>88.270080000000007</v>
      </c>
      <c r="P15" s="241"/>
      <c r="Q15" s="241"/>
      <c r="R15" s="241"/>
      <c r="S15" s="441">
        <v>117.5</v>
      </c>
      <c r="T15" s="441">
        <f t="shared" si="6"/>
        <v>10.371734399999999</v>
      </c>
      <c r="U15" s="437">
        <v>11436.572</v>
      </c>
      <c r="V15" s="436">
        <v>8365.384</v>
      </c>
      <c r="W15" s="436">
        <v>0</v>
      </c>
      <c r="X15" s="436">
        <v>0</v>
      </c>
      <c r="Z15" s="436">
        <f t="shared" si="7"/>
        <v>1944.2172400000002</v>
      </c>
      <c r="AA15" s="436">
        <f t="shared" si="8"/>
        <v>1422.1152800000002</v>
      </c>
      <c r="AB15" s="436">
        <f t="shared" si="9"/>
        <v>0</v>
      </c>
      <c r="AC15" s="436">
        <f t="shared" si="10"/>
        <v>0</v>
      </c>
      <c r="AE15" s="436">
        <f t="shared" si="11"/>
        <v>13380.78924</v>
      </c>
      <c r="AF15" s="436">
        <f t="shared" si="12"/>
        <v>9787.49928</v>
      </c>
      <c r="AG15" s="436">
        <f t="shared" si="13"/>
        <v>0</v>
      </c>
      <c r="AH15" s="436">
        <f t="shared" si="14"/>
        <v>0</v>
      </c>
    </row>
    <row r="16" spans="1:34" x14ac:dyDescent="0.2">
      <c r="A16" s="240">
        <v>6</v>
      </c>
      <c r="B16" s="351" t="s">
        <v>880</v>
      </c>
      <c r="C16" s="438">
        <v>42851</v>
      </c>
      <c r="D16" s="438">
        <v>7374</v>
      </c>
      <c r="E16" s="241"/>
      <c r="F16" s="438">
        <v>21</v>
      </c>
      <c r="G16" s="438">
        <f t="shared" si="0"/>
        <v>50246</v>
      </c>
      <c r="H16" s="444">
        <v>254</v>
      </c>
      <c r="I16" s="441">
        <f t="shared" si="1"/>
        <v>1914.3725999999999</v>
      </c>
      <c r="J16" s="441">
        <f t="shared" si="2"/>
        <v>1914.3725999999999</v>
      </c>
      <c r="K16" s="241"/>
      <c r="L16" s="241"/>
      <c r="M16" s="445">
        <f t="shared" si="3"/>
        <v>382.87452000000002</v>
      </c>
      <c r="N16" s="445">
        <f t="shared" si="4"/>
        <v>191.43726000000001</v>
      </c>
      <c r="O16" s="445">
        <f t="shared" si="5"/>
        <v>191.43726000000001</v>
      </c>
      <c r="P16" s="241"/>
      <c r="Q16" s="241"/>
      <c r="R16" s="241"/>
      <c r="S16" s="441">
        <v>117.5</v>
      </c>
      <c r="T16" s="441">
        <f t="shared" si="6"/>
        <v>22.493878049999996</v>
      </c>
      <c r="U16" s="437">
        <v>36624.959999999999</v>
      </c>
      <c r="V16" s="436">
        <v>6302.92</v>
      </c>
      <c r="W16" s="436">
        <v>0</v>
      </c>
      <c r="X16" s="436">
        <v>17.84</v>
      </c>
      <c r="Z16" s="436">
        <f t="shared" si="7"/>
        <v>6226.2431999999999</v>
      </c>
      <c r="AA16" s="436">
        <f t="shared" si="8"/>
        <v>1071.4964</v>
      </c>
      <c r="AB16" s="436">
        <f t="shared" si="9"/>
        <v>0</v>
      </c>
      <c r="AC16" s="436">
        <f t="shared" si="10"/>
        <v>3.0328000000000004</v>
      </c>
      <c r="AE16" s="436">
        <f t="shared" si="11"/>
        <v>42851.203199999996</v>
      </c>
      <c r="AF16" s="436">
        <f t="shared" si="12"/>
        <v>7374.4164000000001</v>
      </c>
      <c r="AG16" s="436">
        <f t="shared" si="13"/>
        <v>0</v>
      </c>
      <c r="AH16" s="436">
        <f t="shared" si="14"/>
        <v>20.872800000000002</v>
      </c>
    </row>
    <row r="17" spans="1:34" x14ac:dyDescent="0.2">
      <c r="A17" s="240">
        <v>7</v>
      </c>
      <c r="B17" s="351" t="s">
        <v>923</v>
      </c>
      <c r="C17" s="438">
        <v>32016</v>
      </c>
      <c r="D17" s="438">
        <v>0</v>
      </c>
      <c r="E17" s="241"/>
      <c r="F17" s="438">
        <v>0</v>
      </c>
      <c r="G17" s="438">
        <f t="shared" si="0"/>
        <v>32016</v>
      </c>
      <c r="H17" s="444">
        <v>254</v>
      </c>
      <c r="I17" s="441">
        <f t="shared" si="1"/>
        <v>1219.8095999999998</v>
      </c>
      <c r="J17" s="441">
        <f t="shared" si="2"/>
        <v>1219.8095999999998</v>
      </c>
      <c r="K17" s="241"/>
      <c r="L17" s="241"/>
      <c r="M17" s="445">
        <f t="shared" si="3"/>
        <v>243.96191999999999</v>
      </c>
      <c r="N17" s="445">
        <f t="shared" si="4"/>
        <v>121.98096</v>
      </c>
      <c r="O17" s="445">
        <f t="shared" si="5"/>
        <v>121.98096</v>
      </c>
      <c r="P17" s="241"/>
      <c r="Q17" s="241"/>
      <c r="R17" s="241"/>
      <c r="S17" s="441">
        <v>117.5</v>
      </c>
      <c r="T17" s="441">
        <f t="shared" si="6"/>
        <v>14.332762799999998</v>
      </c>
      <c r="U17" s="437">
        <v>27364.412</v>
      </c>
      <c r="V17" s="436">
        <v>0</v>
      </c>
      <c r="W17" s="436">
        <v>0</v>
      </c>
      <c r="X17" s="436">
        <v>0</v>
      </c>
      <c r="Z17" s="436">
        <f t="shared" si="7"/>
        <v>4651.9500400000006</v>
      </c>
      <c r="AA17" s="436">
        <f t="shared" si="8"/>
        <v>0</v>
      </c>
      <c r="AB17" s="436">
        <f t="shared" si="9"/>
        <v>0</v>
      </c>
      <c r="AC17" s="436">
        <f t="shared" si="10"/>
        <v>0</v>
      </c>
      <c r="AE17" s="436">
        <f t="shared" si="11"/>
        <v>32016.36204</v>
      </c>
      <c r="AF17" s="436">
        <f t="shared" si="12"/>
        <v>0</v>
      </c>
      <c r="AG17" s="436">
        <f t="shared" si="13"/>
        <v>0</v>
      </c>
      <c r="AH17" s="436">
        <f t="shared" si="14"/>
        <v>0</v>
      </c>
    </row>
    <row r="18" spans="1:34" x14ac:dyDescent="0.2">
      <c r="A18" s="240">
        <v>8</v>
      </c>
      <c r="B18" s="351" t="s">
        <v>882</v>
      </c>
      <c r="C18" s="438">
        <v>50433</v>
      </c>
      <c r="D18" s="438">
        <v>5003</v>
      </c>
      <c r="E18" s="241"/>
      <c r="F18" s="438">
        <v>49</v>
      </c>
      <c r="G18" s="438">
        <f t="shared" si="0"/>
        <v>55485</v>
      </c>
      <c r="H18" s="444">
        <v>254</v>
      </c>
      <c r="I18" s="441">
        <f t="shared" si="1"/>
        <v>2113.9784999999997</v>
      </c>
      <c r="J18" s="441">
        <f t="shared" si="2"/>
        <v>2113.9784999999997</v>
      </c>
      <c r="K18" s="241"/>
      <c r="L18" s="241"/>
      <c r="M18" s="445">
        <f t="shared" si="3"/>
        <v>422.79570000000001</v>
      </c>
      <c r="N18" s="445">
        <f t="shared" si="4"/>
        <v>211.39785000000001</v>
      </c>
      <c r="O18" s="445">
        <f t="shared" si="5"/>
        <v>211.39785000000001</v>
      </c>
      <c r="P18" s="241"/>
      <c r="Q18" s="241"/>
      <c r="R18" s="241"/>
      <c r="S18" s="441">
        <v>117.5</v>
      </c>
      <c r="T18" s="441">
        <f t="shared" si="6"/>
        <v>24.839247374999999</v>
      </c>
      <c r="U18" s="437">
        <v>43105.016000000003</v>
      </c>
      <c r="V18" s="436">
        <v>4275.6760000000004</v>
      </c>
      <c r="W18" s="436">
        <v>411.046875</v>
      </c>
      <c r="X18" s="436">
        <v>42.043999999999997</v>
      </c>
      <c r="Z18" s="436">
        <f t="shared" si="7"/>
        <v>7327.8527200000008</v>
      </c>
      <c r="AA18" s="436">
        <f t="shared" si="8"/>
        <v>726.8649200000001</v>
      </c>
      <c r="AB18" s="436">
        <f t="shared" si="9"/>
        <v>69.877968750000008</v>
      </c>
      <c r="AC18" s="436">
        <f t="shared" si="10"/>
        <v>7.1474799999999998</v>
      </c>
      <c r="AE18" s="436">
        <f t="shared" si="11"/>
        <v>50432.868720000006</v>
      </c>
      <c r="AF18" s="436">
        <f t="shared" si="12"/>
        <v>5002.5409200000004</v>
      </c>
      <c r="AG18" s="436">
        <f t="shared" si="13"/>
        <v>480.92484375000004</v>
      </c>
      <c r="AH18" s="436">
        <f t="shared" si="14"/>
        <v>49.191479999999999</v>
      </c>
    </row>
    <row r="19" spans="1:34" x14ac:dyDescent="0.2">
      <c r="A19" s="240">
        <v>9</v>
      </c>
      <c r="B19" s="351" t="s">
        <v>883</v>
      </c>
      <c r="C19" s="438">
        <v>83865</v>
      </c>
      <c r="D19" s="438">
        <v>898</v>
      </c>
      <c r="E19" s="241"/>
      <c r="F19" s="438">
        <v>466</v>
      </c>
      <c r="G19" s="438">
        <f t="shared" si="0"/>
        <v>85229</v>
      </c>
      <c r="H19" s="444">
        <v>254</v>
      </c>
      <c r="I19" s="441">
        <f t="shared" si="1"/>
        <v>3247.2248999999997</v>
      </c>
      <c r="J19" s="441">
        <f t="shared" si="2"/>
        <v>3247.2248999999997</v>
      </c>
      <c r="K19" s="241"/>
      <c r="L19" s="241"/>
      <c r="M19" s="445">
        <f t="shared" si="3"/>
        <v>649.44497999999999</v>
      </c>
      <c r="N19" s="445">
        <f t="shared" si="4"/>
        <v>324.72248999999999</v>
      </c>
      <c r="O19" s="445">
        <f t="shared" si="5"/>
        <v>324.72248999999999</v>
      </c>
      <c r="P19" s="241"/>
      <c r="Q19" s="241"/>
      <c r="R19" s="241"/>
      <c r="S19" s="441">
        <v>117.5</v>
      </c>
      <c r="T19" s="441">
        <f t="shared" si="6"/>
        <v>38.154892574999998</v>
      </c>
      <c r="U19" s="437">
        <v>71679.135999999999</v>
      </c>
      <c r="V19" s="436">
        <v>767.58399999999995</v>
      </c>
      <c r="W19" s="436">
        <v>0</v>
      </c>
      <c r="X19" s="436">
        <v>397.95600000000002</v>
      </c>
      <c r="Z19" s="436">
        <f t="shared" si="7"/>
        <v>12185.45312</v>
      </c>
      <c r="AA19" s="436">
        <f t="shared" si="8"/>
        <v>130.48928000000001</v>
      </c>
      <c r="AB19" s="436">
        <f t="shared" si="9"/>
        <v>0</v>
      </c>
      <c r="AC19" s="436">
        <f t="shared" si="10"/>
        <v>67.65252000000001</v>
      </c>
      <c r="AE19" s="436">
        <f t="shared" si="11"/>
        <v>83864.589120000004</v>
      </c>
      <c r="AF19" s="436">
        <f t="shared" si="12"/>
        <v>898.07327999999995</v>
      </c>
      <c r="AG19" s="436">
        <f t="shared" si="13"/>
        <v>0</v>
      </c>
      <c r="AH19" s="436">
        <f t="shared" si="14"/>
        <v>465.60852</v>
      </c>
    </row>
    <row r="20" spans="1:34" x14ac:dyDescent="0.2">
      <c r="A20" s="240">
        <v>10</v>
      </c>
      <c r="B20" s="351" t="s">
        <v>884</v>
      </c>
      <c r="C20" s="438">
        <v>25131</v>
      </c>
      <c r="D20" s="438">
        <v>1999</v>
      </c>
      <c r="E20" s="241"/>
      <c r="F20" s="438">
        <v>0</v>
      </c>
      <c r="G20" s="438">
        <f t="shared" si="0"/>
        <v>27130</v>
      </c>
      <c r="H20" s="444">
        <v>254</v>
      </c>
      <c r="I20" s="441">
        <f t="shared" si="1"/>
        <v>1033.653</v>
      </c>
      <c r="J20" s="441">
        <f t="shared" si="2"/>
        <v>1033.653</v>
      </c>
      <c r="K20" s="241"/>
      <c r="L20" s="241"/>
      <c r="M20" s="445">
        <f t="shared" si="3"/>
        <v>206.73060000000001</v>
      </c>
      <c r="N20" s="445">
        <f t="shared" si="4"/>
        <v>103.3653</v>
      </c>
      <c r="O20" s="445">
        <f t="shared" si="5"/>
        <v>103.3653</v>
      </c>
      <c r="P20" s="241"/>
      <c r="Q20" s="241"/>
      <c r="R20" s="241"/>
      <c r="S20" s="441">
        <v>117.5</v>
      </c>
      <c r="T20" s="441">
        <f t="shared" si="6"/>
        <v>12.145422750000002</v>
      </c>
      <c r="U20" s="437">
        <v>21479.328000000001</v>
      </c>
      <c r="V20" s="436">
        <v>1708.4960000000001</v>
      </c>
      <c r="W20" s="436">
        <v>0</v>
      </c>
      <c r="X20" s="436">
        <v>0</v>
      </c>
      <c r="Z20" s="436">
        <f t="shared" si="7"/>
        <v>3651.4857600000005</v>
      </c>
      <c r="AA20" s="436">
        <f t="shared" si="8"/>
        <v>290.44432000000006</v>
      </c>
      <c r="AB20" s="436">
        <f t="shared" si="9"/>
        <v>0</v>
      </c>
      <c r="AC20" s="436">
        <f t="shared" si="10"/>
        <v>0</v>
      </c>
      <c r="AE20" s="436">
        <f t="shared" si="11"/>
        <v>25130.813760000001</v>
      </c>
      <c r="AF20" s="436">
        <f t="shared" si="12"/>
        <v>1998.9403200000002</v>
      </c>
      <c r="AG20" s="436">
        <f t="shared" si="13"/>
        <v>0</v>
      </c>
      <c r="AH20" s="436">
        <f t="shared" si="14"/>
        <v>0</v>
      </c>
    </row>
    <row r="21" spans="1:34" x14ac:dyDescent="0.2">
      <c r="A21" s="240">
        <v>11</v>
      </c>
      <c r="B21" s="351" t="s">
        <v>885</v>
      </c>
      <c r="C21" s="438">
        <v>44601</v>
      </c>
      <c r="D21" s="438">
        <v>620</v>
      </c>
      <c r="E21" s="241"/>
      <c r="F21" s="438">
        <v>60</v>
      </c>
      <c r="G21" s="438">
        <f t="shared" si="0"/>
        <v>45281</v>
      </c>
      <c r="H21" s="444">
        <v>254</v>
      </c>
      <c r="I21" s="441">
        <f t="shared" si="1"/>
        <v>1725.2060999999999</v>
      </c>
      <c r="J21" s="441">
        <f t="shared" si="2"/>
        <v>1725.2060999999999</v>
      </c>
      <c r="K21" s="241"/>
      <c r="L21" s="241"/>
      <c r="M21" s="445">
        <f t="shared" si="3"/>
        <v>345.04122000000001</v>
      </c>
      <c r="N21" s="445">
        <f t="shared" si="4"/>
        <v>172.52061</v>
      </c>
      <c r="O21" s="445">
        <f t="shared" si="5"/>
        <v>172.52061</v>
      </c>
      <c r="P21" s="241"/>
      <c r="Q21" s="241"/>
      <c r="R21" s="241"/>
      <c r="S21" s="441">
        <v>117.5</v>
      </c>
      <c r="T21" s="441">
        <f t="shared" si="6"/>
        <v>20.271171674999998</v>
      </c>
      <c r="U21" s="437">
        <v>38120.432000000001</v>
      </c>
      <c r="V21" s="436">
        <v>529.74</v>
      </c>
      <c r="W21" s="436">
        <v>844.3671875</v>
      </c>
      <c r="X21" s="436">
        <v>51.692</v>
      </c>
      <c r="Z21" s="436">
        <f t="shared" si="7"/>
        <v>6480.4734400000007</v>
      </c>
      <c r="AA21" s="436">
        <f t="shared" si="8"/>
        <v>90.055800000000005</v>
      </c>
      <c r="AB21" s="436">
        <f t="shared" si="9"/>
        <v>143.542421875</v>
      </c>
      <c r="AC21" s="436">
        <f t="shared" si="10"/>
        <v>8.7876400000000015</v>
      </c>
      <c r="AE21" s="436">
        <f t="shared" si="11"/>
        <v>44600.905440000002</v>
      </c>
      <c r="AF21" s="436">
        <f t="shared" si="12"/>
        <v>619.79579999999999</v>
      </c>
      <c r="AG21" s="436">
        <f t="shared" si="13"/>
        <v>987.90960937499995</v>
      </c>
      <c r="AH21" s="436">
        <f t="shared" si="14"/>
        <v>60.479640000000003</v>
      </c>
    </row>
    <row r="22" spans="1:34" x14ac:dyDescent="0.2">
      <c r="A22" s="240">
        <v>12</v>
      </c>
      <c r="B22" s="351" t="s">
        <v>886</v>
      </c>
      <c r="C22" s="438">
        <v>47610</v>
      </c>
      <c r="D22" s="438">
        <v>2741</v>
      </c>
      <c r="E22" s="241"/>
      <c r="F22" s="438">
        <v>290</v>
      </c>
      <c r="G22" s="438">
        <f t="shared" si="0"/>
        <v>50641</v>
      </c>
      <c r="H22" s="444">
        <v>254</v>
      </c>
      <c r="I22" s="441">
        <f t="shared" si="1"/>
        <v>1929.4220999999998</v>
      </c>
      <c r="J22" s="441">
        <f t="shared" si="2"/>
        <v>1929.4220999999998</v>
      </c>
      <c r="K22" s="241"/>
      <c r="L22" s="241"/>
      <c r="M22" s="445">
        <f t="shared" si="3"/>
        <v>385.88442000000003</v>
      </c>
      <c r="N22" s="445">
        <f t="shared" si="4"/>
        <v>192.94221000000002</v>
      </c>
      <c r="O22" s="445">
        <f t="shared" si="5"/>
        <v>192.94221000000002</v>
      </c>
      <c r="P22" s="241"/>
      <c r="Q22" s="241"/>
      <c r="R22" s="241"/>
      <c r="S22" s="441">
        <v>117.5</v>
      </c>
      <c r="T22" s="441">
        <f t="shared" si="6"/>
        <v>22.670709674999998</v>
      </c>
      <c r="U22" s="437">
        <v>40692.06</v>
      </c>
      <c r="V22" s="436">
        <v>2342.56</v>
      </c>
      <c r="W22" s="436">
        <v>462.94921875</v>
      </c>
      <c r="X22" s="436">
        <v>247.81200000000001</v>
      </c>
      <c r="Z22" s="436">
        <f t="shared" si="7"/>
        <v>6917.6502</v>
      </c>
      <c r="AA22" s="436">
        <f t="shared" si="8"/>
        <v>398.23520000000002</v>
      </c>
      <c r="AB22" s="436">
        <f t="shared" si="9"/>
        <v>78.701367187500011</v>
      </c>
      <c r="AC22" s="436">
        <f t="shared" si="10"/>
        <v>42.128040000000006</v>
      </c>
      <c r="AE22" s="436">
        <f t="shared" si="11"/>
        <v>47609.710200000001</v>
      </c>
      <c r="AF22" s="436">
        <f t="shared" si="12"/>
        <v>2740.7952</v>
      </c>
      <c r="AG22" s="436">
        <f t="shared" si="13"/>
        <v>541.65058593749995</v>
      </c>
      <c r="AH22" s="436">
        <f t="shared" si="14"/>
        <v>289.94004000000001</v>
      </c>
    </row>
    <row r="23" spans="1:34" x14ac:dyDescent="0.2">
      <c r="A23" s="240">
        <v>13</v>
      </c>
      <c r="B23" s="351" t="s">
        <v>887</v>
      </c>
      <c r="C23" s="438">
        <v>24022</v>
      </c>
      <c r="D23" s="438">
        <v>364</v>
      </c>
      <c r="E23" s="241"/>
      <c r="F23" s="438">
        <v>83</v>
      </c>
      <c r="G23" s="438">
        <f t="shared" si="0"/>
        <v>24469</v>
      </c>
      <c r="H23" s="444">
        <v>254</v>
      </c>
      <c r="I23" s="441">
        <f t="shared" si="1"/>
        <v>932.26889999999992</v>
      </c>
      <c r="J23" s="441">
        <f t="shared" si="2"/>
        <v>932.26889999999992</v>
      </c>
      <c r="K23" s="241"/>
      <c r="L23" s="241"/>
      <c r="M23" s="445">
        <f t="shared" si="3"/>
        <v>186.45377999999999</v>
      </c>
      <c r="N23" s="445">
        <f t="shared" si="4"/>
        <v>93.226889999999997</v>
      </c>
      <c r="O23" s="445">
        <f t="shared" si="5"/>
        <v>93.226889999999997</v>
      </c>
      <c r="P23" s="241"/>
      <c r="Q23" s="241"/>
      <c r="R23" s="241"/>
      <c r="S23" s="441">
        <v>117.5</v>
      </c>
      <c r="T23" s="441">
        <f t="shared" si="6"/>
        <v>10.954159575</v>
      </c>
      <c r="U23" s="437">
        <v>20531.38</v>
      </c>
      <c r="V23" s="436">
        <v>311.44799999999998</v>
      </c>
      <c r="W23" s="436">
        <v>0</v>
      </c>
      <c r="X23" s="436">
        <v>71.007999999999996</v>
      </c>
      <c r="Z23" s="436">
        <f t="shared" si="7"/>
        <v>3490.3346000000006</v>
      </c>
      <c r="AA23" s="436">
        <f t="shared" si="8"/>
        <v>52.946159999999999</v>
      </c>
      <c r="AB23" s="436">
        <f t="shared" si="9"/>
        <v>0</v>
      </c>
      <c r="AC23" s="436">
        <f t="shared" si="10"/>
        <v>12.07136</v>
      </c>
      <c r="AE23" s="436">
        <f t="shared" si="11"/>
        <v>24021.714600000003</v>
      </c>
      <c r="AF23" s="436">
        <f t="shared" si="12"/>
        <v>364.39416</v>
      </c>
      <c r="AG23" s="436">
        <f t="shared" si="13"/>
        <v>0</v>
      </c>
      <c r="AH23" s="436">
        <f t="shared" si="14"/>
        <v>83.079359999999994</v>
      </c>
    </row>
    <row r="24" spans="1:34" x14ac:dyDescent="0.2">
      <c r="A24" s="240">
        <v>14</v>
      </c>
      <c r="B24" s="351" t="s">
        <v>888</v>
      </c>
      <c r="C24" s="438">
        <v>24211</v>
      </c>
      <c r="D24" s="438">
        <v>128</v>
      </c>
      <c r="E24" s="241"/>
      <c r="F24" s="438">
        <v>133</v>
      </c>
      <c r="G24" s="438">
        <f t="shared" si="0"/>
        <v>24472</v>
      </c>
      <c r="H24" s="444">
        <v>254</v>
      </c>
      <c r="I24" s="441">
        <f t="shared" si="1"/>
        <v>932.38319999999987</v>
      </c>
      <c r="J24" s="441">
        <f t="shared" si="2"/>
        <v>932.38319999999987</v>
      </c>
      <c r="K24" s="241"/>
      <c r="L24" s="241"/>
      <c r="M24" s="445">
        <f t="shared" si="3"/>
        <v>186.47664</v>
      </c>
      <c r="N24" s="445">
        <f t="shared" si="4"/>
        <v>93.238320000000002</v>
      </c>
      <c r="O24" s="445">
        <f t="shared" si="5"/>
        <v>93.238320000000002</v>
      </c>
      <c r="P24" s="241"/>
      <c r="Q24" s="241"/>
      <c r="R24" s="241"/>
      <c r="S24" s="441">
        <v>117.5</v>
      </c>
      <c r="T24" s="441">
        <f t="shared" si="6"/>
        <v>10.955502599999997</v>
      </c>
      <c r="U24" s="437">
        <v>20692.736000000001</v>
      </c>
      <c r="V24" s="436">
        <v>109.82</v>
      </c>
      <c r="W24" s="436">
        <v>0</v>
      </c>
      <c r="X24" s="436">
        <v>113.488</v>
      </c>
      <c r="Z24" s="436">
        <f t="shared" si="7"/>
        <v>3517.7651200000005</v>
      </c>
      <c r="AA24" s="436">
        <f t="shared" si="8"/>
        <v>18.6694</v>
      </c>
      <c r="AB24" s="436">
        <f t="shared" si="9"/>
        <v>0</v>
      </c>
      <c r="AC24" s="436">
        <f t="shared" si="10"/>
        <v>19.292960000000001</v>
      </c>
      <c r="AE24" s="436">
        <f t="shared" si="11"/>
        <v>24210.501120000001</v>
      </c>
      <c r="AF24" s="436">
        <f t="shared" si="12"/>
        <v>128.48939999999999</v>
      </c>
      <c r="AG24" s="436">
        <f t="shared" si="13"/>
        <v>0</v>
      </c>
      <c r="AH24" s="436">
        <f t="shared" si="14"/>
        <v>132.78095999999999</v>
      </c>
    </row>
    <row r="25" spans="1:34" x14ac:dyDescent="0.2">
      <c r="A25" s="240">
        <v>15</v>
      </c>
      <c r="B25" s="351" t="s">
        <v>924</v>
      </c>
      <c r="C25" s="438">
        <v>53904</v>
      </c>
      <c r="D25" s="438">
        <v>479</v>
      </c>
      <c r="E25" s="241"/>
      <c r="F25" s="438">
        <v>179</v>
      </c>
      <c r="G25" s="438">
        <f t="shared" si="0"/>
        <v>54562</v>
      </c>
      <c r="H25" s="444">
        <v>254</v>
      </c>
      <c r="I25" s="441">
        <f t="shared" si="1"/>
        <v>2078.8121999999998</v>
      </c>
      <c r="J25" s="441">
        <f t="shared" si="2"/>
        <v>2078.8121999999998</v>
      </c>
      <c r="K25" s="241"/>
      <c r="L25" s="241"/>
      <c r="M25" s="445">
        <f t="shared" si="3"/>
        <v>415.76244000000003</v>
      </c>
      <c r="N25" s="445">
        <f t="shared" si="4"/>
        <v>207.88122000000001</v>
      </c>
      <c r="O25" s="445">
        <f t="shared" si="5"/>
        <v>207.88122000000001</v>
      </c>
      <c r="P25" s="241"/>
      <c r="Q25" s="241"/>
      <c r="R25" s="241"/>
      <c r="S25" s="441">
        <v>117.5</v>
      </c>
      <c r="T25" s="441">
        <f t="shared" si="6"/>
        <v>24.42604335</v>
      </c>
      <c r="U25" s="437">
        <v>46071.62</v>
      </c>
      <c r="V25" s="436">
        <v>409.45600000000002</v>
      </c>
      <c r="W25" s="436">
        <v>0</v>
      </c>
      <c r="X25" s="436">
        <v>153.30000000000001</v>
      </c>
      <c r="Z25" s="436">
        <f t="shared" si="7"/>
        <v>7832.175400000001</v>
      </c>
      <c r="AA25" s="436">
        <f t="shared" si="8"/>
        <v>69.607520000000008</v>
      </c>
      <c r="AB25" s="436">
        <f t="shared" si="9"/>
        <v>0</v>
      </c>
      <c r="AC25" s="436">
        <f t="shared" si="10"/>
        <v>26.061000000000003</v>
      </c>
      <c r="AE25" s="436">
        <f t="shared" si="11"/>
        <v>53903.795400000003</v>
      </c>
      <c r="AF25" s="436">
        <f t="shared" si="12"/>
        <v>479.06352000000004</v>
      </c>
      <c r="AG25" s="436">
        <f t="shared" si="13"/>
        <v>0</v>
      </c>
      <c r="AH25" s="436">
        <f t="shared" si="14"/>
        <v>179.36100000000002</v>
      </c>
    </row>
    <row r="26" spans="1:34" x14ac:dyDescent="0.2">
      <c r="A26" s="240">
        <v>16</v>
      </c>
      <c r="B26" s="351" t="s">
        <v>890</v>
      </c>
      <c r="C26" s="438">
        <v>60232</v>
      </c>
      <c r="D26" s="438">
        <v>1599</v>
      </c>
      <c r="E26" s="241"/>
      <c r="F26" s="438">
        <v>425</v>
      </c>
      <c r="G26" s="438">
        <f t="shared" si="0"/>
        <v>62256</v>
      </c>
      <c r="H26" s="444">
        <v>254</v>
      </c>
      <c r="I26" s="441">
        <f t="shared" si="1"/>
        <v>2371.9535999999998</v>
      </c>
      <c r="J26" s="441">
        <f t="shared" si="2"/>
        <v>2371.9535999999998</v>
      </c>
      <c r="K26" s="241"/>
      <c r="L26" s="241"/>
      <c r="M26" s="445">
        <f t="shared" si="3"/>
        <v>474.39071999999999</v>
      </c>
      <c r="N26" s="445">
        <f t="shared" si="4"/>
        <v>237.19535999999999</v>
      </c>
      <c r="O26" s="445">
        <f t="shared" si="5"/>
        <v>237.19535999999999</v>
      </c>
      <c r="P26" s="241"/>
      <c r="Q26" s="241"/>
      <c r="R26" s="241"/>
      <c r="S26" s="441">
        <v>117.5</v>
      </c>
      <c r="T26" s="441">
        <f t="shared" si="6"/>
        <v>27.870454800000001</v>
      </c>
      <c r="U26" s="437">
        <v>51480.160000000003</v>
      </c>
      <c r="V26" s="436">
        <v>1367.06</v>
      </c>
      <c r="W26" s="436">
        <v>0</v>
      </c>
      <c r="X26" s="436">
        <v>363.62799999999999</v>
      </c>
      <c r="Z26" s="436">
        <f t="shared" si="7"/>
        <v>8751.6272000000008</v>
      </c>
      <c r="AA26" s="436">
        <f t="shared" si="8"/>
        <v>232.40020000000001</v>
      </c>
      <c r="AB26" s="436">
        <f t="shared" si="9"/>
        <v>0</v>
      </c>
      <c r="AC26" s="436">
        <f t="shared" si="10"/>
        <v>61.816760000000002</v>
      </c>
      <c r="AE26" s="436">
        <f t="shared" si="11"/>
        <v>60231.787200000006</v>
      </c>
      <c r="AF26" s="436">
        <f t="shared" si="12"/>
        <v>1599.4602</v>
      </c>
      <c r="AG26" s="436">
        <f t="shared" si="13"/>
        <v>0</v>
      </c>
      <c r="AH26" s="436">
        <f t="shared" si="14"/>
        <v>425.44475999999997</v>
      </c>
    </row>
    <row r="27" spans="1:34" x14ac:dyDescent="0.2">
      <c r="A27" s="240">
        <v>17</v>
      </c>
      <c r="B27" s="351" t="s">
        <v>891</v>
      </c>
      <c r="C27" s="438">
        <v>54673</v>
      </c>
      <c r="D27" s="438">
        <v>2317</v>
      </c>
      <c r="E27" s="241"/>
      <c r="F27" s="438">
        <v>85</v>
      </c>
      <c r="G27" s="438">
        <f t="shared" si="0"/>
        <v>57075</v>
      </c>
      <c r="H27" s="444">
        <v>254</v>
      </c>
      <c r="I27" s="441">
        <f t="shared" si="1"/>
        <v>2174.5574999999999</v>
      </c>
      <c r="J27" s="441">
        <f t="shared" si="2"/>
        <v>2174.5574999999999</v>
      </c>
      <c r="K27" s="241"/>
      <c r="L27" s="241"/>
      <c r="M27" s="445">
        <f t="shared" si="3"/>
        <v>434.91149999999999</v>
      </c>
      <c r="N27" s="445">
        <f t="shared" si="4"/>
        <v>217.45574999999999</v>
      </c>
      <c r="O27" s="445">
        <f t="shared" si="5"/>
        <v>217.45574999999999</v>
      </c>
      <c r="P27" s="241"/>
      <c r="Q27" s="241"/>
      <c r="R27" s="241"/>
      <c r="S27" s="441">
        <v>117.5</v>
      </c>
      <c r="T27" s="441">
        <f t="shared" si="6"/>
        <v>25.551050624999998</v>
      </c>
      <c r="U27" s="437">
        <v>46728.756000000001</v>
      </c>
      <c r="V27" s="436">
        <v>1980.384</v>
      </c>
      <c r="W27" s="436">
        <v>0</v>
      </c>
      <c r="X27" s="436">
        <v>72.811999999999998</v>
      </c>
      <c r="Z27" s="436">
        <f t="shared" si="7"/>
        <v>7943.8885200000004</v>
      </c>
      <c r="AA27" s="436">
        <f t="shared" si="8"/>
        <v>336.66528000000005</v>
      </c>
      <c r="AB27" s="436">
        <f t="shared" si="9"/>
        <v>0</v>
      </c>
      <c r="AC27" s="436">
        <f t="shared" si="10"/>
        <v>12.37804</v>
      </c>
      <c r="AE27" s="436">
        <f t="shared" si="11"/>
        <v>54672.644520000002</v>
      </c>
      <c r="AF27" s="436">
        <f t="shared" si="12"/>
        <v>2317.0492800000002</v>
      </c>
      <c r="AG27" s="436">
        <f t="shared" si="13"/>
        <v>0</v>
      </c>
      <c r="AH27" s="436">
        <f t="shared" si="14"/>
        <v>85.190039999999996</v>
      </c>
    </row>
    <row r="28" spans="1:34" x14ac:dyDescent="0.2">
      <c r="A28" s="240">
        <v>18</v>
      </c>
      <c r="B28" s="351" t="s">
        <v>892</v>
      </c>
      <c r="C28" s="438">
        <v>47499</v>
      </c>
      <c r="D28" s="438">
        <v>350</v>
      </c>
      <c r="E28" s="241"/>
      <c r="F28" s="438">
        <v>15</v>
      </c>
      <c r="G28" s="438">
        <f t="shared" si="0"/>
        <v>47864</v>
      </c>
      <c r="H28" s="444">
        <v>254</v>
      </c>
      <c r="I28" s="441">
        <f t="shared" si="1"/>
        <v>1823.6183999999998</v>
      </c>
      <c r="J28" s="441">
        <f t="shared" si="2"/>
        <v>1823.6183999999998</v>
      </c>
      <c r="K28" s="241"/>
      <c r="L28" s="241"/>
      <c r="M28" s="445">
        <f t="shared" si="3"/>
        <v>364.72368</v>
      </c>
      <c r="N28" s="445">
        <f t="shared" si="4"/>
        <v>182.36184</v>
      </c>
      <c r="O28" s="445">
        <f t="shared" si="5"/>
        <v>182.36184</v>
      </c>
      <c r="P28" s="241"/>
      <c r="Q28" s="241"/>
      <c r="R28" s="241"/>
      <c r="S28" s="441">
        <v>117.5</v>
      </c>
      <c r="T28" s="441">
        <f t="shared" si="6"/>
        <v>21.427516199999996</v>
      </c>
      <c r="U28" s="437">
        <v>40597.536</v>
      </c>
      <c r="V28" s="436">
        <v>298.976</v>
      </c>
      <c r="W28" s="436">
        <v>0</v>
      </c>
      <c r="X28" s="436">
        <v>12.792</v>
      </c>
      <c r="Z28" s="436">
        <f t="shared" si="7"/>
        <v>6901.5811200000007</v>
      </c>
      <c r="AA28" s="436">
        <f t="shared" si="8"/>
        <v>50.825920000000004</v>
      </c>
      <c r="AB28" s="436">
        <f t="shared" si="9"/>
        <v>0</v>
      </c>
      <c r="AC28" s="436">
        <f t="shared" si="10"/>
        <v>2.1746400000000001</v>
      </c>
      <c r="AE28" s="436">
        <f t="shared" si="11"/>
        <v>47499.117120000003</v>
      </c>
      <c r="AF28" s="436">
        <f t="shared" si="12"/>
        <v>349.80192</v>
      </c>
      <c r="AG28" s="436">
        <f t="shared" si="13"/>
        <v>0</v>
      </c>
      <c r="AH28" s="436">
        <f t="shared" si="14"/>
        <v>14.96664</v>
      </c>
    </row>
    <row r="29" spans="1:34" x14ac:dyDescent="0.2">
      <c r="A29" s="240">
        <v>19</v>
      </c>
      <c r="B29" s="351" t="s">
        <v>893</v>
      </c>
      <c r="C29" s="438">
        <v>34839</v>
      </c>
      <c r="D29" s="438">
        <v>847</v>
      </c>
      <c r="E29" s="241"/>
      <c r="F29" s="438">
        <v>93</v>
      </c>
      <c r="G29" s="438">
        <f t="shared" si="0"/>
        <v>35779</v>
      </c>
      <c r="H29" s="444">
        <v>254</v>
      </c>
      <c r="I29" s="441">
        <f t="shared" si="1"/>
        <v>1363.1798999999999</v>
      </c>
      <c r="J29" s="441">
        <f t="shared" si="2"/>
        <v>1363.1798999999999</v>
      </c>
      <c r="K29" s="241"/>
      <c r="L29" s="241"/>
      <c r="M29" s="445">
        <f t="shared" si="3"/>
        <v>272.63598000000002</v>
      </c>
      <c r="N29" s="445">
        <f t="shared" si="4"/>
        <v>136.31799000000001</v>
      </c>
      <c r="O29" s="445">
        <f t="shared" si="5"/>
        <v>136.31799000000001</v>
      </c>
      <c r="P29" s="241"/>
      <c r="Q29" s="241"/>
      <c r="R29" s="241"/>
      <c r="S29" s="441">
        <v>117.5</v>
      </c>
      <c r="T29" s="441">
        <f t="shared" si="6"/>
        <v>16.017363824999997</v>
      </c>
      <c r="U29" s="437">
        <v>29777.119999999999</v>
      </c>
      <c r="V29" s="436">
        <v>724.20399999999995</v>
      </c>
      <c r="W29" s="436">
        <v>432.1953125</v>
      </c>
      <c r="X29" s="436">
        <v>79.64</v>
      </c>
      <c r="Z29" s="436">
        <f t="shared" si="7"/>
        <v>5062.1104000000005</v>
      </c>
      <c r="AA29" s="436">
        <f t="shared" si="8"/>
        <v>123.11468000000001</v>
      </c>
      <c r="AB29" s="436">
        <f t="shared" si="9"/>
        <v>73.473203125000012</v>
      </c>
      <c r="AC29" s="436">
        <f t="shared" si="10"/>
        <v>13.538800000000002</v>
      </c>
      <c r="AE29" s="436">
        <f t="shared" si="11"/>
        <v>34839.2304</v>
      </c>
      <c r="AF29" s="436">
        <f t="shared" si="12"/>
        <v>847.31867999999997</v>
      </c>
      <c r="AG29" s="436">
        <f t="shared" si="13"/>
        <v>505.668515625</v>
      </c>
      <c r="AH29" s="436">
        <f t="shared" si="14"/>
        <v>93.178799999999995</v>
      </c>
    </row>
    <row r="30" spans="1:34" x14ac:dyDescent="0.2">
      <c r="A30" s="240">
        <v>20</v>
      </c>
      <c r="B30" s="351" t="s">
        <v>894</v>
      </c>
      <c r="C30" s="438">
        <v>24572</v>
      </c>
      <c r="D30" s="438">
        <v>226</v>
      </c>
      <c r="E30" s="241"/>
      <c r="F30" s="438">
        <v>92</v>
      </c>
      <c r="G30" s="438">
        <f t="shared" si="0"/>
        <v>24890</v>
      </c>
      <c r="H30" s="444">
        <v>254</v>
      </c>
      <c r="I30" s="441">
        <f t="shared" si="1"/>
        <v>948.30899999999997</v>
      </c>
      <c r="J30" s="441">
        <f t="shared" si="2"/>
        <v>948.30899999999997</v>
      </c>
      <c r="K30" s="241"/>
      <c r="L30" s="241"/>
      <c r="M30" s="445">
        <f t="shared" si="3"/>
        <v>189.6618</v>
      </c>
      <c r="N30" s="445">
        <f t="shared" si="4"/>
        <v>94.8309</v>
      </c>
      <c r="O30" s="445">
        <f t="shared" si="5"/>
        <v>94.8309</v>
      </c>
      <c r="P30" s="241"/>
      <c r="Q30" s="241"/>
      <c r="R30" s="241"/>
      <c r="S30" s="441">
        <v>117.5</v>
      </c>
      <c r="T30" s="441">
        <f t="shared" si="6"/>
        <v>11.14263075</v>
      </c>
      <c r="U30" s="437">
        <v>21001.96</v>
      </c>
      <c r="V30" s="436">
        <v>193.31200000000001</v>
      </c>
      <c r="W30" s="436">
        <v>0</v>
      </c>
      <c r="X30" s="436">
        <v>78.215999999999994</v>
      </c>
      <c r="Z30" s="436">
        <f t="shared" si="7"/>
        <v>3570.3332</v>
      </c>
      <c r="AA30" s="436">
        <f t="shared" si="8"/>
        <v>32.863040000000005</v>
      </c>
      <c r="AB30" s="436">
        <f t="shared" si="9"/>
        <v>0</v>
      </c>
      <c r="AC30" s="436">
        <f t="shared" si="10"/>
        <v>13.296720000000001</v>
      </c>
      <c r="AE30" s="436">
        <f t="shared" si="11"/>
        <v>24572.2932</v>
      </c>
      <c r="AF30" s="436">
        <f t="shared" si="12"/>
        <v>226.17504000000002</v>
      </c>
      <c r="AG30" s="436">
        <f t="shared" si="13"/>
        <v>0</v>
      </c>
      <c r="AH30" s="436">
        <f t="shared" si="14"/>
        <v>91.512720000000002</v>
      </c>
    </row>
    <row r="31" spans="1:34" x14ac:dyDescent="0.2">
      <c r="A31" s="240">
        <v>21</v>
      </c>
      <c r="B31" s="351" t="s">
        <v>925</v>
      </c>
      <c r="C31" s="438">
        <v>29812</v>
      </c>
      <c r="D31" s="438">
        <v>627</v>
      </c>
      <c r="E31" s="241"/>
      <c r="F31" s="438">
        <v>1517</v>
      </c>
      <c r="G31" s="438">
        <f t="shared" si="0"/>
        <v>31956</v>
      </c>
      <c r="H31" s="444">
        <v>254</v>
      </c>
      <c r="I31" s="441">
        <f t="shared" si="1"/>
        <v>1217.5236</v>
      </c>
      <c r="J31" s="441">
        <f t="shared" si="2"/>
        <v>1217.5236</v>
      </c>
      <c r="K31" s="241"/>
      <c r="L31" s="241"/>
      <c r="M31" s="445">
        <f t="shared" si="3"/>
        <v>243.50472000000002</v>
      </c>
      <c r="N31" s="445">
        <f t="shared" si="4"/>
        <v>121.75236000000001</v>
      </c>
      <c r="O31" s="445">
        <f t="shared" si="5"/>
        <v>121.75236000000001</v>
      </c>
      <c r="P31" s="241"/>
      <c r="Q31" s="241"/>
      <c r="R31" s="241"/>
      <c r="S31" s="441">
        <v>117.5</v>
      </c>
      <c r="T31" s="441">
        <f t="shared" si="6"/>
        <v>14.3059023</v>
      </c>
      <c r="U31" s="437">
        <v>25480.335999999999</v>
      </c>
      <c r="V31" s="436">
        <v>535.97199999999998</v>
      </c>
      <c r="W31" s="436">
        <v>164.32421875</v>
      </c>
      <c r="X31" s="436">
        <v>1296.6479999999999</v>
      </c>
      <c r="Z31" s="436">
        <f t="shared" si="7"/>
        <v>4331.6571199999998</v>
      </c>
      <c r="AA31" s="436">
        <f t="shared" si="8"/>
        <v>91.11524</v>
      </c>
      <c r="AB31" s="436">
        <f t="shared" si="9"/>
        <v>27.935117187500001</v>
      </c>
      <c r="AC31" s="436">
        <f t="shared" si="10"/>
        <v>220.43016</v>
      </c>
      <c r="AE31" s="436">
        <f t="shared" si="11"/>
        <v>29811.993119999999</v>
      </c>
      <c r="AF31" s="436">
        <f t="shared" si="12"/>
        <v>627.08723999999995</v>
      </c>
      <c r="AG31" s="436">
        <f t="shared" si="13"/>
        <v>192.2593359375</v>
      </c>
      <c r="AH31" s="436">
        <f t="shared" si="14"/>
        <v>1517.07816</v>
      </c>
    </row>
    <row r="32" spans="1:34" x14ac:dyDescent="0.2">
      <c r="A32" s="240">
        <v>22</v>
      </c>
      <c r="B32" s="351" t="s">
        <v>896</v>
      </c>
      <c r="C32" s="438">
        <v>15411</v>
      </c>
      <c r="D32" s="438">
        <v>1147</v>
      </c>
      <c r="E32" s="241"/>
      <c r="F32" s="438">
        <v>970</v>
      </c>
      <c r="G32" s="438">
        <f t="shared" si="0"/>
        <v>17528</v>
      </c>
      <c r="H32" s="444">
        <v>254</v>
      </c>
      <c r="I32" s="441">
        <f t="shared" si="1"/>
        <v>667.81679999999994</v>
      </c>
      <c r="J32" s="441">
        <f t="shared" si="2"/>
        <v>667.81679999999994</v>
      </c>
      <c r="K32" s="241"/>
      <c r="L32" s="241"/>
      <c r="M32" s="445">
        <f t="shared" si="3"/>
        <v>133.56336000000002</v>
      </c>
      <c r="N32" s="445">
        <f t="shared" si="4"/>
        <v>66.781680000000009</v>
      </c>
      <c r="O32" s="445">
        <f t="shared" si="5"/>
        <v>66.781680000000009</v>
      </c>
      <c r="P32" s="241"/>
      <c r="Q32" s="241"/>
      <c r="R32" s="241"/>
      <c r="S32" s="441">
        <v>117.5</v>
      </c>
      <c r="T32" s="441">
        <f t="shared" si="6"/>
        <v>7.8468473999999997</v>
      </c>
      <c r="U32" s="437">
        <v>13172.048000000001</v>
      </c>
      <c r="V32" s="436">
        <v>980.75599999999997</v>
      </c>
      <c r="W32" s="436">
        <v>44.5625</v>
      </c>
      <c r="X32" s="436">
        <v>829.16399999999999</v>
      </c>
      <c r="Z32" s="436">
        <f t="shared" si="7"/>
        <v>2239.2481600000001</v>
      </c>
      <c r="AA32" s="436">
        <f t="shared" si="8"/>
        <v>166.72852</v>
      </c>
      <c r="AB32" s="436">
        <f t="shared" si="9"/>
        <v>7.5756250000000005</v>
      </c>
      <c r="AC32" s="436">
        <f t="shared" si="10"/>
        <v>140.95788000000002</v>
      </c>
      <c r="AE32" s="436">
        <f t="shared" si="11"/>
        <v>15411.296160000002</v>
      </c>
      <c r="AF32" s="436">
        <f t="shared" si="12"/>
        <v>1147.48452</v>
      </c>
      <c r="AG32" s="436">
        <f t="shared" si="13"/>
        <v>52.138125000000002</v>
      </c>
      <c r="AH32" s="436">
        <f t="shared" si="14"/>
        <v>970.12188000000003</v>
      </c>
    </row>
    <row r="33" spans="1:34" x14ac:dyDescent="0.2">
      <c r="A33" s="240">
        <v>23</v>
      </c>
      <c r="B33" s="351" t="s">
        <v>926</v>
      </c>
      <c r="C33" s="438">
        <v>35841</v>
      </c>
      <c r="D33" s="438">
        <v>1007</v>
      </c>
      <c r="E33" s="241"/>
      <c r="F33" s="438">
        <v>2473</v>
      </c>
      <c r="G33" s="438">
        <f t="shared" si="0"/>
        <v>39321</v>
      </c>
      <c r="H33" s="444">
        <v>254</v>
      </c>
      <c r="I33" s="441">
        <f t="shared" si="1"/>
        <v>1498.1300999999999</v>
      </c>
      <c r="J33" s="441">
        <f t="shared" si="2"/>
        <v>1498.1300999999999</v>
      </c>
      <c r="K33" s="241"/>
      <c r="L33" s="241"/>
      <c r="M33" s="445">
        <f t="shared" si="3"/>
        <v>299.62601999999998</v>
      </c>
      <c r="N33" s="445">
        <f t="shared" si="4"/>
        <v>149.81300999999999</v>
      </c>
      <c r="O33" s="445">
        <f t="shared" si="5"/>
        <v>149.81300999999999</v>
      </c>
      <c r="P33" s="241"/>
      <c r="Q33" s="241"/>
      <c r="R33" s="241"/>
      <c r="S33" s="441">
        <v>117.5</v>
      </c>
      <c r="T33" s="441">
        <f t="shared" si="6"/>
        <v>17.603028675000001</v>
      </c>
      <c r="U33" s="437">
        <v>30633.616000000002</v>
      </c>
      <c r="V33" s="436">
        <v>860.524</v>
      </c>
      <c r="W33" s="436">
        <v>0</v>
      </c>
      <c r="X33" s="436">
        <v>2114.08</v>
      </c>
      <c r="Z33" s="436">
        <f t="shared" si="7"/>
        <v>5207.7147200000009</v>
      </c>
      <c r="AA33" s="436">
        <f t="shared" si="8"/>
        <v>146.28908000000001</v>
      </c>
      <c r="AB33" s="436">
        <f t="shared" si="9"/>
        <v>0</v>
      </c>
      <c r="AC33" s="436">
        <f t="shared" si="10"/>
        <v>359.39359999999999</v>
      </c>
      <c r="AE33" s="436">
        <f t="shared" si="11"/>
        <v>35841.330720000005</v>
      </c>
      <c r="AF33" s="436">
        <f t="shared" si="12"/>
        <v>1006.81308</v>
      </c>
      <c r="AG33" s="436">
        <f t="shared" si="13"/>
        <v>0</v>
      </c>
      <c r="AH33" s="436">
        <f t="shared" si="14"/>
        <v>2473.4735999999998</v>
      </c>
    </row>
    <row r="34" spans="1:34" x14ac:dyDescent="0.2">
      <c r="A34" s="240">
        <v>24</v>
      </c>
      <c r="B34" s="351" t="s">
        <v>898</v>
      </c>
      <c r="C34" s="438">
        <v>69177</v>
      </c>
      <c r="D34" s="438">
        <v>282</v>
      </c>
      <c r="E34" s="241"/>
      <c r="F34" s="438">
        <v>255</v>
      </c>
      <c r="G34" s="438">
        <f t="shared" si="0"/>
        <v>69714</v>
      </c>
      <c r="H34" s="444">
        <v>254</v>
      </c>
      <c r="I34" s="441">
        <f t="shared" si="1"/>
        <v>2656.1034</v>
      </c>
      <c r="J34" s="441">
        <f t="shared" si="2"/>
        <v>2656.1034</v>
      </c>
      <c r="K34" s="241"/>
      <c r="L34" s="241"/>
      <c r="M34" s="445">
        <f t="shared" si="3"/>
        <v>531.22068000000002</v>
      </c>
      <c r="N34" s="445">
        <f t="shared" si="4"/>
        <v>265.61034000000001</v>
      </c>
      <c r="O34" s="445">
        <f t="shared" si="5"/>
        <v>265.61034000000001</v>
      </c>
      <c r="P34" s="241"/>
      <c r="Q34" s="241"/>
      <c r="R34" s="241"/>
      <c r="S34" s="441">
        <v>117.5</v>
      </c>
      <c r="T34" s="441">
        <f t="shared" si="6"/>
        <v>31.20921495</v>
      </c>
      <c r="U34" s="437">
        <v>59125.303999999996</v>
      </c>
      <c r="V34" s="436">
        <v>240.86</v>
      </c>
      <c r="W34" s="436">
        <v>0</v>
      </c>
      <c r="X34" s="436">
        <v>218.05199999999999</v>
      </c>
      <c r="Z34" s="436">
        <f t="shared" si="7"/>
        <v>10051.30168</v>
      </c>
      <c r="AA34" s="436">
        <f t="shared" si="8"/>
        <v>40.946200000000005</v>
      </c>
      <c r="AB34" s="436">
        <f t="shared" si="9"/>
        <v>0</v>
      </c>
      <c r="AC34" s="436">
        <f t="shared" si="10"/>
        <v>37.068840000000002</v>
      </c>
      <c r="AE34" s="436">
        <f t="shared" si="11"/>
        <v>69176.605679999993</v>
      </c>
      <c r="AF34" s="436">
        <f t="shared" si="12"/>
        <v>281.80619999999999</v>
      </c>
      <c r="AG34" s="436">
        <f t="shared" si="13"/>
        <v>0</v>
      </c>
      <c r="AH34" s="436">
        <f t="shared" si="14"/>
        <v>255.12083999999999</v>
      </c>
    </row>
    <row r="35" spans="1:34" s="230" customFormat="1" x14ac:dyDescent="0.2">
      <c r="A35" s="1092" t="s">
        <v>15</v>
      </c>
      <c r="B35" s="1093"/>
      <c r="C35" s="439">
        <f>SUM(C11:C34)</f>
        <v>923391</v>
      </c>
      <c r="D35" s="439">
        <f>SUM(D11:D34)</f>
        <v>66300</v>
      </c>
      <c r="E35" s="433"/>
      <c r="F35" s="439">
        <f>SUM(F11:F34)</f>
        <v>7357</v>
      </c>
      <c r="G35" s="439">
        <f t="shared" si="0"/>
        <v>997048</v>
      </c>
      <c r="H35" s="447">
        <v>254</v>
      </c>
      <c r="I35" s="442">
        <f>SUM(I11:I34)</f>
        <v>37987.5288</v>
      </c>
      <c r="J35" s="442">
        <f>SUM(J11:J34)</f>
        <v>37987.5288</v>
      </c>
      <c r="K35" s="433"/>
      <c r="L35" s="433"/>
      <c r="M35" s="446">
        <f>SUM(M11:M34)</f>
        <v>7597.5057600000009</v>
      </c>
      <c r="N35" s="446">
        <f>SUM(N11:N34)</f>
        <v>3798.7528800000005</v>
      </c>
      <c r="O35" s="446">
        <f>SUM(O11:O34)</f>
        <v>3798.7528800000005</v>
      </c>
      <c r="P35" s="433"/>
      <c r="Q35" s="433"/>
      <c r="R35" s="433"/>
      <c r="S35" s="441">
        <v>117.5</v>
      </c>
      <c r="T35" s="442">
        <f>SUM(T11:T34)</f>
        <v>446.35346340000007</v>
      </c>
      <c r="U35" s="242"/>
    </row>
    <row r="36" spans="1:34" x14ac:dyDescent="0.2">
      <c r="A36" s="362"/>
      <c r="B36" s="362"/>
      <c r="C36" s="362"/>
      <c r="D36" s="362"/>
      <c r="E36" s="362"/>
      <c r="F36" s="362"/>
      <c r="G36" s="362"/>
      <c r="H36" s="362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</row>
    <row r="37" spans="1:34" x14ac:dyDescent="0.2">
      <c r="A37" s="580" t="s">
        <v>7</v>
      </c>
      <c r="B37" s="581"/>
      <c r="C37" s="581"/>
      <c r="D37" s="362"/>
      <c r="E37" s="362"/>
      <c r="F37" s="362"/>
      <c r="G37" s="362"/>
      <c r="H37" s="362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</row>
    <row r="38" spans="1:34" x14ac:dyDescent="0.2">
      <c r="A38" s="583" t="s">
        <v>8</v>
      </c>
      <c r="B38" s="583"/>
      <c r="C38" s="583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</row>
    <row r="39" spans="1:34" x14ac:dyDescent="0.2">
      <c r="A39" s="583" t="s">
        <v>9</v>
      </c>
      <c r="B39" s="583"/>
      <c r="C39" s="583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</row>
    <row r="40" spans="1:34" x14ac:dyDescent="0.2">
      <c r="A40" s="583"/>
      <c r="B40" s="583"/>
      <c r="C40" s="583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</row>
    <row r="41" spans="1:34" x14ac:dyDescent="0.2">
      <c r="A41" s="669"/>
      <c r="B41" s="669"/>
      <c r="C41" s="669"/>
      <c r="D41" s="669"/>
      <c r="E41" s="669"/>
      <c r="F41" s="669"/>
      <c r="G41" s="688"/>
      <c r="H41" s="687"/>
      <c r="I41" s="688"/>
      <c r="J41" s="688"/>
      <c r="K41" s="688"/>
      <c r="L41" s="688"/>
      <c r="M41" s="688"/>
      <c r="N41" s="688"/>
      <c r="O41" s="688"/>
      <c r="P41" s="688"/>
      <c r="Q41" s="1086" t="s">
        <v>1107</v>
      </c>
      <c r="R41" s="1086"/>
      <c r="S41" s="688"/>
      <c r="T41" s="579"/>
    </row>
    <row r="42" spans="1:34" ht="12.75" customHeight="1" x14ac:dyDescent="0.2">
      <c r="A42" s="669"/>
      <c r="B42" s="669"/>
      <c r="C42" s="669"/>
      <c r="D42" s="669"/>
      <c r="E42" s="669"/>
      <c r="F42" s="669"/>
      <c r="G42" s="669"/>
      <c r="H42" s="688"/>
      <c r="I42" s="1086" t="s">
        <v>1108</v>
      </c>
      <c r="J42" s="1086"/>
      <c r="K42" s="1086"/>
      <c r="L42" s="1086"/>
      <c r="M42" s="1086"/>
      <c r="N42" s="1086"/>
      <c r="O42" s="1086"/>
      <c r="P42" s="1086"/>
      <c r="Q42" s="1086"/>
      <c r="R42" s="1086"/>
      <c r="S42" s="1086"/>
      <c r="T42" s="567"/>
    </row>
    <row r="43" spans="1:34" ht="12.75" customHeight="1" x14ac:dyDescent="0.2">
      <c r="A43" s="669"/>
      <c r="B43" s="669"/>
      <c r="C43" s="669"/>
      <c r="D43" s="669"/>
      <c r="E43" s="669"/>
      <c r="F43" s="669"/>
      <c r="G43" s="669"/>
      <c r="H43" s="1086" t="s">
        <v>1113</v>
      </c>
      <c r="I43" s="1086"/>
      <c r="J43" s="1086"/>
      <c r="K43" s="1086"/>
      <c r="L43" s="1086"/>
      <c r="M43" s="1086"/>
      <c r="N43" s="1086"/>
      <c r="O43" s="1086"/>
      <c r="P43" s="1086"/>
      <c r="Q43" s="1086"/>
      <c r="R43" s="1086"/>
      <c r="S43" s="1086"/>
      <c r="T43" s="567"/>
    </row>
    <row r="44" spans="1:34" x14ac:dyDescent="0.2">
      <c r="A44" s="688"/>
      <c r="B44" s="669"/>
      <c r="C44" s="669"/>
      <c r="D44" s="669"/>
      <c r="E44" s="669"/>
      <c r="F44" s="669"/>
      <c r="G44" s="669"/>
      <c r="H44" s="687"/>
      <c r="I44" s="688"/>
      <c r="J44" s="688"/>
      <c r="K44" s="688"/>
      <c r="L44" s="688"/>
      <c r="M44" s="688"/>
      <c r="N44" s="688"/>
      <c r="O44" s="688"/>
      <c r="P44" s="688"/>
      <c r="Q44" s="688" t="s">
        <v>1115</v>
      </c>
      <c r="R44" s="688"/>
      <c r="S44" s="688"/>
      <c r="T44" s="567"/>
    </row>
    <row r="45" spans="1:34" x14ac:dyDescent="0.2">
      <c r="B45" s="583"/>
      <c r="C45" s="579"/>
      <c r="D45" s="579"/>
      <c r="E45" s="579"/>
      <c r="F45" s="579"/>
      <c r="G45" s="579"/>
      <c r="H45" s="579"/>
      <c r="I45" s="579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</row>
    <row r="46" spans="1:34" x14ac:dyDescent="0.2">
      <c r="A46" s="681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</row>
  </sheetData>
  <mergeCells count="18">
    <mergeCell ref="Q41:R41"/>
    <mergeCell ref="I42:S42"/>
    <mergeCell ref="H43:S43"/>
    <mergeCell ref="G1:I1"/>
    <mergeCell ref="A2:T2"/>
    <mergeCell ref="A3:T3"/>
    <mergeCell ref="A4:T5"/>
    <mergeCell ref="A6:T6"/>
    <mergeCell ref="L7:T7"/>
    <mergeCell ref="A35:B35"/>
    <mergeCell ref="S1:T1"/>
    <mergeCell ref="A8:A9"/>
    <mergeCell ref="B8:B9"/>
    <mergeCell ref="C8:G8"/>
    <mergeCell ref="H8:H9"/>
    <mergeCell ref="I8:L8"/>
    <mergeCell ref="M8:R8"/>
    <mergeCell ref="S8:T8"/>
  </mergeCells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BreakPreview" topLeftCell="A13" zoomScaleNormal="70" zoomScaleSheetLayoutView="100" workbookViewId="0">
      <selection activeCell="A39" sqref="A39:N42"/>
    </sheetView>
  </sheetViews>
  <sheetFormatPr defaultRowHeight="12.75" x14ac:dyDescent="0.2"/>
  <cols>
    <col min="1" max="1" width="5.5703125" style="236" customWidth="1"/>
    <col min="2" max="2" width="15.7109375" style="236" customWidth="1"/>
    <col min="3" max="3" width="10.28515625" style="236" customWidth="1"/>
    <col min="4" max="4" width="12.85546875" style="236" customWidth="1"/>
    <col min="5" max="6" width="9.140625" style="228" customWidth="1"/>
    <col min="7" max="7" width="8" style="228" customWidth="1"/>
    <col min="8" max="10" width="8.140625" style="228" customWidth="1"/>
    <col min="11" max="11" width="8.42578125" style="228" customWidth="1"/>
    <col min="12" max="12" width="8.140625" style="228" customWidth="1"/>
    <col min="13" max="13" width="8.85546875" style="228" customWidth="1"/>
    <col min="14" max="14" width="8.140625" style="228" customWidth="1"/>
    <col min="15" max="15" width="9.140625" style="236"/>
    <col min="16" max="16" width="12.42578125" style="236" customWidth="1"/>
    <col min="17" max="16384" width="9.140625" style="228"/>
  </cols>
  <sheetData>
    <row r="1" spans="1:16" ht="12.75" customHeight="1" x14ac:dyDescent="0.2">
      <c r="D1" s="1088"/>
      <c r="E1" s="1088"/>
      <c r="F1" s="236"/>
      <c r="G1" s="236"/>
      <c r="H1" s="236"/>
      <c r="I1" s="236"/>
      <c r="J1" s="236"/>
      <c r="K1" s="236"/>
      <c r="L1" s="236"/>
      <c r="M1" s="1090" t="s">
        <v>530</v>
      </c>
      <c r="N1" s="1090"/>
    </row>
    <row r="2" spans="1:16" ht="15.75" x14ac:dyDescent="0.25">
      <c r="A2" s="1096" t="s">
        <v>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</row>
    <row r="3" spans="1:16" ht="18" x14ac:dyDescent="0.25">
      <c r="A3" s="1097" t="s">
        <v>694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</row>
    <row r="4" spans="1:16" ht="12.75" customHeight="1" x14ac:dyDescent="0.2">
      <c r="A4" s="1091" t="s">
        <v>703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</row>
    <row r="5" spans="1:16" s="229" customFormat="1" ht="7.5" customHeight="1" x14ac:dyDescent="0.2">
      <c r="A5" s="1091"/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283"/>
      <c r="P5" s="283"/>
    </row>
    <row r="6" spans="1:16" x14ac:dyDescent="0.2">
      <c r="A6" s="1089"/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</row>
    <row r="7" spans="1:16" x14ac:dyDescent="0.2">
      <c r="A7" s="191" t="s">
        <v>1098</v>
      </c>
      <c r="B7" s="191"/>
      <c r="D7" s="237"/>
      <c r="E7" s="236"/>
      <c r="F7" s="236"/>
      <c r="G7" s="236"/>
      <c r="H7" s="1082"/>
      <c r="I7" s="1082"/>
      <c r="J7" s="1082"/>
      <c r="K7" s="1082"/>
      <c r="L7" s="1082"/>
      <c r="M7" s="1082"/>
      <c r="N7" s="1082"/>
    </row>
    <row r="8" spans="1:16" ht="39" customHeight="1" x14ac:dyDescent="0.2">
      <c r="A8" s="999" t="s">
        <v>1</v>
      </c>
      <c r="B8" s="999" t="s">
        <v>2</v>
      </c>
      <c r="C8" s="1098" t="s">
        <v>481</v>
      </c>
      <c r="D8" s="1094" t="s">
        <v>80</v>
      </c>
      <c r="E8" s="1083" t="s">
        <v>81</v>
      </c>
      <c r="F8" s="1084"/>
      <c r="G8" s="1084"/>
      <c r="H8" s="1085"/>
      <c r="I8" s="999" t="s">
        <v>646</v>
      </c>
      <c r="J8" s="999"/>
      <c r="K8" s="999"/>
      <c r="L8" s="999"/>
      <c r="M8" s="999"/>
      <c r="N8" s="999"/>
      <c r="O8" s="1087" t="s">
        <v>842</v>
      </c>
      <c r="P8" s="1087"/>
    </row>
    <row r="9" spans="1:16" ht="44.45" customHeight="1" x14ac:dyDescent="0.2">
      <c r="A9" s="999"/>
      <c r="B9" s="999"/>
      <c r="C9" s="1099"/>
      <c r="D9" s="1095"/>
      <c r="E9" s="238" t="s">
        <v>85</v>
      </c>
      <c r="F9" s="238" t="s">
        <v>17</v>
      </c>
      <c r="G9" s="238" t="s">
        <v>38</v>
      </c>
      <c r="H9" s="238" t="s">
        <v>681</v>
      </c>
      <c r="I9" s="238" t="s">
        <v>15</v>
      </c>
      <c r="J9" s="238" t="s">
        <v>983</v>
      </c>
      <c r="K9" s="238" t="s">
        <v>984</v>
      </c>
      <c r="L9" s="238" t="s">
        <v>649</v>
      </c>
      <c r="M9" s="238" t="s">
        <v>650</v>
      </c>
      <c r="N9" s="238" t="s">
        <v>651</v>
      </c>
      <c r="O9" s="238" t="s">
        <v>855</v>
      </c>
      <c r="P9" s="238" t="s">
        <v>853</v>
      </c>
    </row>
    <row r="10" spans="1:16" s="290" customFormat="1" x14ac:dyDescent="0.2">
      <c r="A10" s="288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7</v>
      </c>
      <c r="H10" s="288">
        <v>8</v>
      </c>
      <c r="I10" s="288">
        <v>9</v>
      </c>
      <c r="J10" s="288">
        <v>10</v>
      </c>
      <c r="K10" s="288">
        <v>11</v>
      </c>
      <c r="L10" s="288">
        <v>12</v>
      </c>
      <c r="M10" s="288">
        <v>13</v>
      </c>
      <c r="N10" s="288">
        <v>14</v>
      </c>
      <c r="O10" s="288">
        <v>15</v>
      </c>
      <c r="P10" s="288">
        <v>16</v>
      </c>
    </row>
    <row r="11" spans="1:16" x14ac:dyDescent="0.2">
      <c r="A11" s="240">
        <v>1</v>
      </c>
      <c r="B11" s="351" t="s">
        <v>875</v>
      </c>
      <c r="C11" s="438">
        <v>639</v>
      </c>
      <c r="D11" s="263">
        <v>312</v>
      </c>
      <c r="E11" s="441">
        <f>F11</f>
        <v>29.905199999999997</v>
      </c>
      <c r="F11" s="441">
        <f>C11*D11*0.00015</f>
        <v>29.905199999999997</v>
      </c>
      <c r="G11" s="241"/>
      <c r="H11" s="241"/>
      <c r="I11" s="441">
        <f>J11+K11</f>
        <v>5.9810400000000001</v>
      </c>
      <c r="J11" s="441">
        <f>C11*D11*0.000015</f>
        <v>2.9905200000000001</v>
      </c>
      <c r="K11" s="441">
        <f>J11</f>
        <v>2.9905200000000001</v>
      </c>
      <c r="L11" s="241"/>
      <c r="M11" s="241"/>
      <c r="N11" s="241"/>
      <c r="O11" s="441">
        <v>117.5</v>
      </c>
      <c r="P11" s="441">
        <f>F11*1175/100000</f>
        <v>0.35138609999999992</v>
      </c>
    </row>
    <row r="12" spans="1:16" x14ac:dyDescent="0.2">
      <c r="A12" s="240">
        <v>2</v>
      </c>
      <c r="B12" s="351" t="s">
        <v>876</v>
      </c>
      <c r="C12" s="438">
        <v>0</v>
      </c>
      <c r="D12" s="263">
        <v>312</v>
      </c>
      <c r="E12" s="441">
        <f t="shared" ref="E12:E34" si="0">F12</f>
        <v>0</v>
      </c>
      <c r="F12" s="441">
        <f t="shared" ref="F12:F34" si="1">C12*D12*0.00015</f>
        <v>0</v>
      </c>
      <c r="G12" s="241"/>
      <c r="H12" s="241"/>
      <c r="I12" s="441">
        <f t="shared" ref="I12:I34" si="2">J12+K12</f>
        <v>0</v>
      </c>
      <c r="J12" s="441">
        <f t="shared" ref="J12:J34" si="3">C12*D12*0.000015</f>
        <v>0</v>
      </c>
      <c r="K12" s="441">
        <f t="shared" ref="K12:K34" si="4">J12</f>
        <v>0</v>
      </c>
      <c r="L12" s="241"/>
      <c r="M12" s="241"/>
      <c r="N12" s="241"/>
      <c r="O12" s="441">
        <v>117.5</v>
      </c>
      <c r="P12" s="441">
        <f t="shared" ref="P12:P34" si="5">F12*1175/100000</f>
        <v>0</v>
      </c>
    </row>
    <row r="13" spans="1:16" x14ac:dyDescent="0.2">
      <c r="A13" s="240">
        <v>3</v>
      </c>
      <c r="B13" s="351" t="s">
        <v>877</v>
      </c>
      <c r="C13" s="438">
        <v>0</v>
      </c>
      <c r="D13" s="263">
        <v>312</v>
      </c>
      <c r="E13" s="441">
        <f t="shared" si="0"/>
        <v>0</v>
      </c>
      <c r="F13" s="441">
        <f t="shared" si="1"/>
        <v>0</v>
      </c>
      <c r="G13" s="241"/>
      <c r="H13" s="241"/>
      <c r="I13" s="441">
        <f t="shared" si="2"/>
        <v>0</v>
      </c>
      <c r="J13" s="441">
        <f t="shared" si="3"/>
        <v>0</v>
      </c>
      <c r="K13" s="441">
        <f t="shared" si="4"/>
        <v>0</v>
      </c>
      <c r="L13" s="241"/>
      <c r="M13" s="241"/>
      <c r="N13" s="241"/>
      <c r="O13" s="441">
        <v>117.5</v>
      </c>
      <c r="P13" s="441">
        <f t="shared" si="5"/>
        <v>0</v>
      </c>
    </row>
    <row r="14" spans="1:16" x14ac:dyDescent="0.2">
      <c r="A14" s="240">
        <v>4</v>
      </c>
      <c r="B14" s="351" t="s">
        <v>878</v>
      </c>
      <c r="C14" s="438">
        <v>0</v>
      </c>
      <c r="D14" s="263">
        <v>312</v>
      </c>
      <c r="E14" s="441">
        <f t="shared" si="0"/>
        <v>0</v>
      </c>
      <c r="F14" s="441">
        <f t="shared" si="1"/>
        <v>0</v>
      </c>
      <c r="G14" s="241"/>
      <c r="H14" s="241"/>
      <c r="I14" s="441">
        <f t="shared" si="2"/>
        <v>0</v>
      </c>
      <c r="J14" s="441">
        <f t="shared" si="3"/>
        <v>0</v>
      </c>
      <c r="K14" s="441">
        <f t="shared" si="4"/>
        <v>0</v>
      </c>
      <c r="L14" s="241"/>
      <c r="M14" s="241"/>
      <c r="N14" s="241"/>
      <c r="O14" s="441">
        <v>117.5</v>
      </c>
      <c r="P14" s="441">
        <f t="shared" si="5"/>
        <v>0</v>
      </c>
    </row>
    <row r="15" spans="1:16" x14ac:dyDescent="0.2">
      <c r="A15" s="240">
        <v>5</v>
      </c>
      <c r="B15" s="351" t="s">
        <v>879</v>
      </c>
      <c r="C15" s="438">
        <v>0</v>
      </c>
      <c r="D15" s="263">
        <v>312</v>
      </c>
      <c r="E15" s="441">
        <f t="shared" si="0"/>
        <v>0</v>
      </c>
      <c r="F15" s="441">
        <f t="shared" si="1"/>
        <v>0</v>
      </c>
      <c r="G15" s="241"/>
      <c r="H15" s="241"/>
      <c r="I15" s="441">
        <f t="shared" si="2"/>
        <v>0</v>
      </c>
      <c r="J15" s="441">
        <f t="shared" si="3"/>
        <v>0</v>
      </c>
      <c r="K15" s="441">
        <f t="shared" si="4"/>
        <v>0</v>
      </c>
      <c r="L15" s="241"/>
      <c r="M15" s="241"/>
      <c r="N15" s="241"/>
      <c r="O15" s="441">
        <v>117.5</v>
      </c>
      <c r="P15" s="441">
        <f t="shared" si="5"/>
        <v>0</v>
      </c>
    </row>
    <row r="16" spans="1:16" x14ac:dyDescent="0.2">
      <c r="A16" s="240">
        <v>6</v>
      </c>
      <c r="B16" s="351" t="s">
        <v>880</v>
      </c>
      <c r="C16" s="438">
        <v>0</v>
      </c>
      <c r="D16" s="263">
        <v>312</v>
      </c>
      <c r="E16" s="441">
        <f t="shared" si="0"/>
        <v>0</v>
      </c>
      <c r="F16" s="441">
        <f t="shared" si="1"/>
        <v>0</v>
      </c>
      <c r="G16" s="241"/>
      <c r="H16" s="241"/>
      <c r="I16" s="441">
        <f t="shared" si="2"/>
        <v>0</v>
      </c>
      <c r="J16" s="441">
        <f t="shared" si="3"/>
        <v>0</v>
      </c>
      <c r="K16" s="441">
        <f t="shared" si="4"/>
        <v>0</v>
      </c>
      <c r="L16" s="241"/>
      <c r="M16" s="241"/>
      <c r="N16" s="241"/>
      <c r="O16" s="441">
        <v>117.5</v>
      </c>
      <c r="P16" s="441">
        <f t="shared" si="5"/>
        <v>0</v>
      </c>
    </row>
    <row r="17" spans="1:16" x14ac:dyDescent="0.2">
      <c r="A17" s="240">
        <v>7</v>
      </c>
      <c r="B17" s="351" t="s">
        <v>923</v>
      </c>
      <c r="C17" s="438">
        <v>0</v>
      </c>
      <c r="D17" s="263">
        <v>312</v>
      </c>
      <c r="E17" s="441">
        <f t="shared" si="0"/>
        <v>0</v>
      </c>
      <c r="F17" s="441">
        <f t="shared" si="1"/>
        <v>0</v>
      </c>
      <c r="G17" s="241"/>
      <c r="H17" s="241"/>
      <c r="I17" s="441">
        <f t="shared" si="2"/>
        <v>0</v>
      </c>
      <c r="J17" s="441">
        <f t="shared" si="3"/>
        <v>0</v>
      </c>
      <c r="K17" s="441">
        <f t="shared" si="4"/>
        <v>0</v>
      </c>
      <c r="L17" s="241"/>
      <c r="M17" s="241"/>
      <c r="N17" s="241"/>
      <c r="O17" s="441">
        <v>117.5</v>
      </c>
      <c r="P17" s="441">
        <f t="shared" si="5"/>
        <v>0</v>
      </c>
    </row>
    <row r="18" spans="1:16" x14ac:dyDescent="0.2">
      <c r="A18" s="240">
        <v>8</v>
      </c>
      <c r="B18" s="351" t="s">
        <v>882</v>
      </c>
      <c r="C18" s="438">
        <v>481</v>
      </c>
      <c r="D18" s="263">
        <v>312</v>
      </c>
      <c r="E18" s="441">
        <f t="shared" si="0"/>
        <v>22.5108</v>
      </c>
      <c r="F18" s="441">
        <f t="shared" si="1"/>
        <v>22.5108</v>
      </c>
      <c r="G18" s="241"/>
      <c r="H18" s="241"/>
      <c r="I18" s="441">
        <f t="shared" si="2"/>
        <v>4.5021599999999999</v>
      </c>
      <c r="J18" s="441">
        <f t="shared" si="3"/>
        <v>2.25108</v>
      </c>
      <c r="K18" s="441">
        <f t="shared" si="4"/>
        <v>2.25108</v>
      </c>
      <c r="L18" s="241"/>
      <c r="M18" s="241"/>
      <c r="N18" s="241"/>
      <c r="O18" s="441">
        <v>117.5</v>
      </c>
      <c r="P18" s="441">
        <f t="shared" si="5"/>
        <v>0.26450190000000001</v>
      </c>
    </row>
    <row r="19" spans="1:16" x14ac:dyDescent="0.2">
      <c r="A19" s="240">
        <v>9</v>
      </c>
      <c r="B19" s="351" t="s">
        <v>883</v>
      </c>
      <c r="C19" s="438">
        <v>0</v>
      </c>
      <c r="D19" s="263">
        <v>312</v>
      </c>
      <c r="E19" s="441">
        <f t="shared" si="0"/>
        <v>0</v>
      </c>
      <c r="F19" s="441">
        <f t="shared" si="1"/>
        <v>0</v>
      </c>
      <c r="G19" s="241"/>
      <c r="H19" s="241"/>
      <c r="I19" s="441">
        <f t="shared" si="2"/>
        <v>0</v>
      </c>
      <c r="J19" s="441">
        <f t="shared" si="3"/>
        <v>0</v>
      </c>
      <c r="K19" s="441">
        <f t="shared" si="4"/>
        <v>0</v>
      </c>
      <c r="L19" s="241"/>
      <c r="M19" s="241"/>
      <c r="N19" s="241"/>
      <c r="O19" s="441">
        <v>117.5</v>
      </c>
      <c r="P19" s="441">
        <f t="shared" si="5"/>
        <v>0</v>
      </c>
    </row>
    <row r="20" spans="1:16" x14ac:dyDescent="0.2">
      <c r="A20" s="240">
        <v>10</v>
      </c>
      <c r="B20" s="351" t="s">
        <v>884</v>
      </c>
      <c r="C20" s="438">
        <v>0</v>
      </c>
      <c r="D20" s="263">
        <v>312</v>
      </c>
      <c r="E20" s="441">
        <f t="shared" si="0"/>
        <v>0</v>
      </c>
      <c r="F20" s="441">
        <f t="shared" si="1"/>
        <v>0</v>
      </c>
      <c r="G20" s="241"/>
      <c r="H20" s="241"/>
      <c r="I20" s="441">
        <f t="shared" si="2"/>
        <v>0</v>
      </c>
      <c r="J20" s="441">
        <f t="shared" si="3"/>
        <v>0</v>
      </c>
      <c r="K20" s="441">
        <f t="shared" si="4"/>
        <v>0</v>
      </c>
      <c r="L20" s="241"/>
      <c r="M20" s="241"/>
      <c r="N20" s="241"/>
      <c r="O20" s="441">
        <v>117.5</v>
      </c>
      <c r="P20" s="441">
        <f t="shared" si="5"/>
        <v>0</v>
      </c>
    </row>
    <row r="21" spans="1:16" x14ac:dyDescent="0.2">
      <c r="A21" s="240">
        <v>11</v>
      </c>
      <c r="B21" s="351" t="s">
        <v>885</v>
      </c>
      <c r="C21" s="438">
        <v>988</v>
      </c>
      <c r="D21" s="263">
        <v>312</v>
      </c>
      <c r="E21" s="441">
        <f t="shared" si="0"/>
        <v>46.238399999999999</v>
      </c>
      <c r="F21" s="441">
        <f t="shared" si="1"/>
        <v>46.238399999999999</v>
      </c>
      <c r="G21" s="241"/>
      <c r="H21" s="241"/>
      <c r="I21" s="441">
        <f t="shared" si="2"/>
        <v>9.2476800000000008</v>
      </c>
      <c r="J21" s="441">
        <f t="shared" si="3"/>
        <v>4.6238400000000004</v>
      </c>
      <c r="K21" s="441">
        <f t="shared" si="4"/>
        <v>4.6238400000000004</v>
      </c>
      <c r="L21" s="241"/>
      <c r="M21" s="241"/>
      <c r="N21" s="241"/>
      <c r="O21" s="441">
        <v>117.5</v>
      </c>
      <c r="P21" s="441">
        <f t="shared" si="5"/>
        <v>0.54330119999999993</v>
      </c>
    </row>
    <row r="22" spans="1:16" x14ac:dyDescent="0.2">
      <c r="A22" s="240">
        <v>12</v>
      </c>
      <c r="B22" s="351" t="s">
        <v>886</v>
      </c>
      <c r="C22" s="438">
        <v>542</v>
      </c>
      <c r="D22" s="263">
        <v>312</v>
      </c>
      <c r="E22" s="441">
        <f t="shared" si="0"/>
        <v>25.365599999999997</v>
      </c>
      <c r="F22" s="441">
        <f t="shared" si="1"/>
        <v>25.365599999999997</v>
      </c>
      <c r="G22" s="241"/>
      <c r="H22" s="241"/>
      <c r="I22" s="441">
        <f t="shared" si="2"/>
        <v>5.0731200000000003</v>
      </c>
      <c r="J22" s="441">
        <f t="shared" si="3"/>
        <v>2.5365600000000001</v>
      </c>
      <c r="K22" s="441">
        <f t="shared" si="4"/>
        <v>2.5365600000000001</v>
      </c>
      <c r="L22" s="241"/>
      <c r="M22" s="241"/>
      <c r="N22" s="241"/>
      <c r="O22" s="441">
        <v>117.5</v>
      </c>
      <c r="P22" s="441">
        <f t="shared" si="5"/>
        <v>0.29804579999999997</v>
      </c>
    </row>
    <row r="23" spans="1:16" x14ac:dyDescent="0.2">
      <c r="A23" s="240">
        <v>13</v>
      </c>
      <c r="B23" s="351" t="s">
        <v>887</v>
      </c>
      <c r="C23" s="438">
        <v>0</v>
      </c>
      <c r="D23" s="263">
        <v>312</v>
      </c>
      <c r="E23" s="441">
        <f t="shared" si="0"/>
        <v>0</v>
      </c>
      <c r="F23" s="441">
        <f t="shared" si="1"/>
        <v>0</v>
      </c>
      <c r="G23" s="241"/>
      <c r="H23" s="241"/>
      <c r="I23" s="441">
        <f t="shared" si="2"/>
        <v>0</v>
      </c>
      <c r="J23" s="441">
        <f t="shared" si="3"/>
        <v>0</v>
      </c>
      <c r="K23" s="441">
        <f t="shared" si="4"/>
        <v>0</v>
      </c>
      <c r="L23" s="241"/>
      <c r="M23" s="241"/>
      <c r="N23" s="241"/>
      <c r="O23" s="441">
        <v>117.5</v>
      </c>
      <c r="P23" s="441">
        <f t="shared" si="5"/>
        <v>0</v>
      </c>
    </row>
    <row r="24" spans="1:16" x14ac:dyDescent="0.2">
      <c r="A24" s="240">
        <v>14</v>
      </c>
      <c r="B24" s="351" t="s">
        <v>888</v>
      </c>
      <c r="C24" s="438">
        <v>0</v>
      </c>
      <c r="D24" s="263">
        <v>312</v>
      </c>
      <c r="E24" s="441">
        <f t="shared" si="0"/>
        <v>0</v>
      </c>
      <c r="F24" s="441">
        <f t="shared" si="1"/>
        <v>0</v>
      </c>
      <c r="G24" s="241"/>
      <c r="H24" s="241"/>
      <c r="I24" s="441">
        <f t="shared" si="2"/>
        <v>0</v>
      </c>
      <c r="J24" s="441">
        <f t="shared" si="3"/>
        <v>0</v>
      </c>
      <c r="K24" s="441">
        <f t="shared" si="4"/>
        <v>0</v>
      </c>
      <c r="L24" s="241"/>
      <c r="M24" s="241"/>
      <c r="N24" s="241"/>
      <c r="O24" s="441">
        <v>117.5</v>
      </c>
      <c r="P24" s="441">
        <f t="shared" si="5"/>
        <v>0</v>
      </c>
    </row>
    <row r="25" spans="1:16" x14ac:dyDescent="0.2">
      <c r="A25" s="240">
        <v>15</v>
      </c>
      <c r="B25" s="351" t="s">
        <v>924</v>
      </c>
      <c r="C25" s="438">
        <v>0</v>
      </c>
      <c r="D25" s="263">
        <v>312</v>
      </c>
      <c r="E25" s="441">
        <f t="shared" si="0"/>
        <v>0</v>
      </c>
      <c r="F25" s="441">
        <f t="shared" si="1"/>
        <v>0</v>
      </c>
      <c r="G25" s="241"/>
      <c r="H25" s="241"/>
      <c r="I25" s="441">
        <f t="shared" si="2"/>
        <v>0</v>
      </c>
      <c r="J25" s="441">
        <f t="shared" si="3"/>
        <v>0</v>
      </c>
      <c r="K25" s="441">
        <f t="shared" si="4"/>
        <v>0</v>
      </c>
      <c r="L25" s="241"/>
      <c r="M25" s="241"/>
      <c r="N25" s="241"/>
      <c r="O25" s="441">
        <v>117.5</v>
      </c>
      <c r="P25" s="441">
        <f t="shared" si="5"/>
        <v>0</v>
      </c>
    </row>
    <row r="26" spans="1:16" x14ac:dyDescent="0.2">
      <c r="A26" s="240">
        <v>16</v>
      </c>
      <c r="B26" s="351" t="s">
        <v>890</v>
      </c>
      <c r="C26" s="438">
        <v>0</v>
      </c>
      <c r="D26" s="263">
        <v>312</v>
      </c>
      <c r="E26" s="441">
        <f t="shared" si="0"/>
        <v>0</v>
      </c>
      <c r="F26" s="441">
        <f t="shared" si="1"/>
        <v>0</v>
      </c>
      <c r="G26" s="241"/>
      <c r="H26" s="241"/>
      <c r="I26" s="441">
        <f t="shared" si="2"/>
        <v>0</v>
      </c>
      <c r="J26" s="441">
        <f t="shared" si="3"/>
        <v>0</v>
      </c>
      <c r="K26" s="441">
        <f t="shared" si="4"/>
        <v>0</v>
      </c>
      <c r="L26" s="241"/>
      <c r="M26" s="241"/>
      <c r="N26" s="241"/>
      <c r="O26" s="441">
        <v>117.5</v>
      </c>
      <c r="P26" s="441">
        <f t="shared" si="5"/>
        <v>0</v>
      </c>
    </row>
    <row r="27" spans="1:16" x14ac:dyDescent="0.2">
      <c r="A27" s="240">
        <v>17</v>
      </c>
      <c r="B27" s="351" t="s">
        <v>891</v>
      </c>
      <c r="C27" s="438">
        <v>0</v>
      </c>
      <c r="D27" s="263">
        <v>312</v>
      </c>
      <c r="E27" s="441">
        <f t="shared" si="0"/>
        <v>0</v>
      </c>
      <c r="F27" s="441">
        <f t="shared" si="1"/>
        <v>0</v>
      </c>
      <c r="G27" s="241"/>
      <c r="H27" s="241"/>
      <c r="I27" s="441">
        <f t="shared" si="2"/>
        <v>0</v>
      </c>
      <c r="J27" s="441">
        <f t="shared" si="3"/>
        <v>0</v>
      </c>
      <c r="K27" s="441">
        <f t="shared" si="4"/>
        <v>0</v>
      </c>
      <c r="L27" s="241"/>
      <c r="M27" s="241"/>
      <c r="N27" s="241"/>
      <c r="O27" s="441">
        <v>117.5</v>
      </c>
      <c r="P27" s="441">
        <f t="shared" si="5"/>
        <v>0</v>
      </c>
    </row>
    <row r="28" spans="1:16" x14ac:dyDescent="0.2">
      <c r="A28" s="240">
        <v>18</v>
      </c>
      <c r="B28" s="351" t="s">
        <v>892</v>
      </c>
      <c r="C28" s="438">
        <v>0</v>
      </c>
      <c r="D28" s="263">
        <v>312</v>
      </c>
      <c r="E28" s="441">
        <f t="shared" si="0"/>
        <v>0</v>
      </c>
      <c r="F28" s="441">
        <f t="shared" si="1"/>
        <v>0</v>
      </c>
      <c r="G28" s="241"/>
      <c r="H28" s="241"/>
      <c r="I28" s="441">
        <f t="shared" si="2"/>
        <v>0</v>
      </c>
      <c r="J28" s="441">
        <f t="shared" si="3"/>
        <v>0</v>
      </c>
      <c r="K28" s="441">
        <f t="shared" si="4"/>
        <v>0</v>
      </c>
      <c r="L28" s="241"/>
      <c r="M28" s="241"/>
      <c r="N28" s="241"/>
      <c r="O28" s="441">
        <v>117.5</v>
      </c>
      <c r="P28" s="441">
        <f t="shared" si="5"/>
        <v>0</v>
      </c>
    </row>
    <row r="29" spans="1:16" x14ac:dyDescent="0.2">
      <c r="A29" s="240">
        <v>19</v>
      </c>
      <c r="B29" s="351" t="s">
        <v>893</v>
      </c>
      <c r="C29" s="438">
        <v>506</v>
      </c>
      <c r="D29" s="263">
        <v>312</v>
      </c>
      <c r="E29" s="441">
        <f t="shared" si="0"/>
        <v>23.680799999999998</v>
      </c>
      <c r="F29" s="441">
        <f t="shared" si="1"/>
        <v>23.680799999999998</v>
      </c>
      <c r="G29" s="241"/>
      <c r="H29" s="241"/>
      <c r="I29" s="441">
        <f t="shared" si="2"/>
        <v>4.7361599999999999</v>
      </c>
      <c r="J29" s="441">
        <f t="shared" si="3"/>
        <v>2.36808</v>
      </c>
      <c r="K29" s="441">
        <f t="shared" si="4"/>
        <v>2.36808</v>
      </c>
      <c r="L29" s="241"/>
      <c r="M29" s="241"/>
      <c r="N29" s="241"/>
      <c r="O29" s="441">
        <v>117.5</v>
      </c>
      <c r="P29" s="441">
        <f t="shared" si="5"/>
        <v>0.27824939999999998</v>
      </c>
    </row>
    <row r="30" spans="1:16" x14ac:dyDescent="0.2">
      <c r="A30" s="240">
        <v>20</v>
      </c>
      <c r="B30" s="351" t="s">
        <v>894</v>
      </c>
      <c r="C30" s="438">
        <v>0</v>
      </c>
      <c r="D30" s="263">
        <v>312</v>
      </c>
      <c r="E30" s="441">
        <f t="shared" si="0"/>
        <v>0</v>
      </c>
      <c r="F30" s="441">
        <f t="shared" si="1"/>
        <v>0</v>
      </c>
      <c r="G30" s="241"/>
      <c r="H30" s="241"/>
      <c r="I30" s="441">
        <f t="shared" si="2"/>
        <v>0</v>
      </c>
      <c r="J30" s="441">
        <f t="shared" si="3"/>
        <v>0</v>
      </c>
      <c r="K30" s="441">
        <f t="shared" si="4"/>
        <v>0</v>
      </c>
      <c r="L30" s="241"/>
      <c r="M30" s="241"/>
      <c r="N30" s="241"/>
      <c r="O30" s="441">
        <v>117.5</v>
      </c>
      <c r="P30" s="441">
        <f t="shared" si="5"/>
        <v>0</v>
      </c>
    </row>
    <row r="31" spans="1:16" x14ac:dyDescent="0.2">
      <c r="A31" s="240">
        <v>21</v>
      </c>
      <c r="B31" s="351" t="s">
        <v>925</v>
      </c>
      <c r="C31" s="438">
        <v>192</v>
      </c>
      <c r="D31" s="263">
        <v>312</v>
      </c>
      <c r="E31" s="441">
        <f t="shared" si="0"/>
        <v>8.9855999999999998</v>
      </c>
      <c r="F31" s="441">
        <f t="shared" si="1"/>
        <v>8.9855999999999998</v>
      </c>
      <c r="G31" s="241"/>
      <c r="H31" s="241"/>
      <c r="I31" s="441">
        <f t="shared" si="2"/>
        <v>1.7971200000000001</v>
      </c>
      <c r="J31" s="441">
        <f t="shared" si="3"/>
        <v>0.89856000000000003</v>
      </c>
      <c r="K31" s="441">
        <f t="shared" si="4"/>
        <v>0.89856000000000003</v>
      </c>
      <c r="L31" s="241"/>
      <c r="M31" s="241"/>
      <c r="N31" s="241"/>
      <c r="O31" s="441">
        <v>117.5</v>
      </c>
      <c r="P31" s="441">
        <f t="shared" si="5"/>
        <v>0.1055808</v>
      </c>
    </row>
    <row r="32" spans="1:16" x14ac:dyDescent="0.2">
      <c r="A32" s="240">
        <v>22</v>
      </c>
      <c r="B32" s="351" t="s">
        <v>896</v>
      </c>
      <c r="C32" s="438">
        <v>52</v>
      </c>
      <c r="D32" s="263">
        <v>312</v>
      </c>
      <c r="E32" s="441">
        <f t="shared" si="0"/>
        <v>2.4335999999999998</v>
      </c>
      <c r="F32" s="441">
        <f t="shared" si="1"/>
        <v>2.4335999999999998</v>
      </c>
      <c r="G32" s="241"/>
      <c r="H32" s="241"/>
      <c r="I32" s="441">
        <f t="shared" si="2"/>
        <v>0.48671999999999999</v>
      </c>
      <c r="J32" s="441">
        <f t="shared" si="3"/>
        <v>0.24335999999999999</v>
      </c>
      <c r="K32" s="441">
        <f t="shared" si="4"/>
        <v>0.24335999999999999</v>
      </c>
      <c r="L32" s="241"/>
      <c r="M32" s="241"/>
      <c r="N32" s="241"/>
      <c r="O32" s="441">
        <v>117.5</v>
      </c>
      <c r="P32" s="441">
        <f t="shared" si="5"/>
        <v>2.8594799999999997E-2</v>
      </c>
    </row>
    <row r="33" spans="1:16" x14ac:dyDescent="0.2">
      <c r="A33" s="240">
        <v>23</v>
      </c>
      <c r="B33" s="351" t="s">
        <v>926</v>
      </c>
      <c r="C33" s="438">
        <v>0</v>
      </c>
      <c r="D33" s="263">
        <v>312</v>
      </c>
      <c r="E33" s="441">
        <f t="shared" si="0"/>
        <v>0</v>
      </c>
      <c r="F33" s="441">
        <f t="shared" si="1"/>
        <v>0</v>
      </c>
      <c r="G33" s="241"/>
      <c r="H33" s="241"/>
      <c r="I33" s="441">
        <f t="shared" si="2"/>
        <v>0</v>
      </c>
      <c r="J33" s="441">
        <f t="shared" si="3"/>
        <v>0</v>
      </c>
      <c r="K33" s="441">
        <f t="shared" si="4"/>
        <v>0</v>
      </c>
      <c r="L33" s="241"/>
      <c r="M33" s="241"/>
      <c r="N33" s="241"/>
      <c r="O33" s="441">
        <v>117.5</v>
      </c>
      <c r="P33" s="441">
        <f t="shared" si="5"/>
        <v>0</v>
      </c>
    </row>
    <row r="34" spans="1:16" x14ac:dyDescent="0.2">
      <c r="A34" s="240">
        <v>24</v>
      </c>
      <c r="B34" s="351" t="s">
        <v>898</v>
      </c>
      <c r="C34" s="438">
        <v>0</v>
      </c>
      <c r="D34" s="263">
        <v>312</v>
      </c>
      <c r="E34" s="441">
        <f t="shared" si="0"/>
        <v>0</v>
      </c>
      <c r="F34" s="441">
        <f t="shared" si="1"/>
        <v>0</v>
      </c>
      <c r="G34" s="241"/>
      <c r="H34" s="241"/>
      <c r="I34" s="441">
        <f t="shared" si="2"/>
        <v>0</v>
      </c>
      <c r="J34" s="441">
        <f t="shared" si="3"/>
        <v>0</v>
      </c>
      <c r="K34" s="441">
        <f t="shared" si="4"/>
        <v>0</v>
      </c>
      <c r="L34" s="241"/>
      <c r="M34" s="241"/>
      <c r="N34" s="241"/>
      <c r="O34" s="441">
        <v>117.5</v>
      </c>
      <c r="P34" s="441">
        <f t="shared" si="5"/>
        <v>0</v>
      </c>
    </row>
    <row r="35" spans="1:16" s="230" customFormat="1" x14ac:dyDescent="0.2">
      <c r="A35" s="1092" t="s">
        <v>15</v>
      </c>
      <c r="B35" s="1093"/>
      <c r="C35" s="439">
        <f>SUM(C11:C34)</f>
        <v>3400</v>
      </c>
      <c r="D35" s="263">
        <v>312</v>
      </c>
      <c r="E35" s="442">
        <f>SUM(E11:E34)</f>
        <v>159.12</v>
      </c>
      <c r="F35" s="442">
        <f>SUM(F11:F34)</f>
        <v>159.12</v>
      </c>
      <c r="G35" s="433"/>
      <c r="H35" s="433"/>
      <c r="I35" s="442">
        <f>SUM(I11:I34)</f>
        <v>31.823999999999998</v>
      </c>
      <c r="J35" s="442">
        <f>SUM(J11:J34)</f>
        <v>15.911999999999999</v>
      </c>
      <c r="K35" s="442">
        <f>SUM(K11:K34)</f>
        <v>15.911999999999999</v>
      </c>
      <c r="L35" s="433"/>
      <c r="M35" s="433"/>
      <c r="N35" s="433"/>
      <c r="O35" s="442">
        <v>117.5</v>
      </c>
      <c r="P35" s="442">
        <f>SUM(P11:P34)</f>
        <v>1.8696599999999999</v>
      </c>
    </row>
    <row r="36" spans="1:16" x14ac:dyDescent="0.2">
      <c r="A36" s="362"/>
      <c r="B36" s="362"/>
      <c r="C36" s="362"/>
      <c r="D36" s="362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</row>
    <row r="37" spans="1:16" x14ac:dyDescent="0.2">
      <c r="A37" s="580"/>
      <c r="B37" s="581"/>
      <c r="C37" s="581"/>
      <c r="D37" s="362"/>
      <c r="E37" s="585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</row>
    <row r="38" spans="1:16" x14ac:dyDescent="0.2">
      <c r="A38" s="583"/>
      <c r="B38" s="583"/>
      <c r="C38" s="583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</row>
    <row r="39" spans="1:16" x14ac:dyDescent="0.2">
      <c r="A39" s="690" t="s">
        <v>11</v>
      </c>
      <c r="B39" s="669"/>
      <c r="C39" s="669"/>
      <c r="D39" s="690"/>
      <c r="E39" s="689"/>
      <c r="F39" s="690"/>
      <c r="G39" s="690"/>
      <c r="H39" s="690"/>
      <c r="I39" s="690"/>
      <c r="J39" s="690"/>
      <c r="K39" s="690"/>
      <c r="L39" s="690" t="s">
        <v>1107</v>
      </c>
      <c r="M39" s="690"/>
      <c r="N39" s="690"/>
      <c r="O39" s="579"/>
      <c r="P39" s="579"/>
    </row>
    <row r="40" spans="1:16" ht="15" customHeight="1" x14ac:dyDescent="0.2">
      <c r="A40" s="669"/>
      <c r="B40" s="669"/>
      <c r="C40" s="669"/>
      <c r="D40" s="669"/>
      <c r="E40" s="690"/>
      <c r="F40" s="1086" t="s">
        <v>1108</v>
      </c>
      <c r="G40" s="1086"/>
      <c r="H40" s="1086"/>
      <c r="I40" s="1086"/>
      <c r="J40" s="1086"/>
      <c r="K40" s="1086"/>
      <c r="L40" s="1086"/>
      <c r="M40" s="1086"/>
      <c r="N40" s="1086"/>
      <c r="O40" s="567"/>
      <c r="P40" s="567"/>
    </row>
    <row r="41" spans="1:16" ht="15" customHeight="1" x14ac:dyDescent="0.2">
      <c r="A41" s="669"/>
      <c r="B41" s="669"/>
      <c r="C41" s="669"/>
      <c r="D41" s="669"/>
      <c r="E41" s="1086" t="s">
        <v>1113</v>
      </c>
      <c r="F41" s="1086"/>
      <c r="G41" s="1086"/>
      <c r="H41" s="1086"/>
      <c r="I41" s="1086"/>
      <c r="J41" s="1086"/>
      <c r="K41" s="1086"/>
      <c r="L41" s="1086"/>
      <c r="M41" s="1086"/>
      <c r="N41" s="1086"/>
      <c r="O41" s="567"/>
      <c r="P41" s="567"/>
    </row>
    <row r="42" spans="1:16" ht="15" customHeight="1" x14ac:dyDescent="0.2">
      <c r="A42" s="690"/>
      <c r="B42" s="690"/>
      <c r="C42" s="669"/>
      <c r="D42" s="669"/>
      <c r="E42" s="689"/>
      <c r="F42" s="690"/>
      <c r="G42" s="690"/>
      <c r="H42" s="690"/>
      <c r="I42" s="690"/>
      <c r="J42" s="690"/>
      <c r="K42" s="690"/>
      <c r="L42" s="690" t="s">
        <v>1115</v>
      </c>
      <c r="M42" s="690"/>
      <c r="N42" s="690"/>
      <c r="O42" s="567"/>
      <c r="P42" s="567"/>
    </row>
    <row r="44" spans="1:16" x14ac:dyDescent="0.2">
      <c r="A44" s="1081"/>
      <c r="B44" s="1081"/>
      <c r="C44" s="1081"/>
      <c r="D44" s="1081"/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</row>
  </sheetData>
  <mergeCells count="18">
    <mergeCell ref="F40:N40"/>
    <mergeCell ref="E41:N41"/>
    <mergeCell ref="A44:N44"/>
    <mergeCell ref="C8:C9"/>
    <mergeCell ref="H7:N7"/>
    <mergeCell ref="A8:A9"/>
    <mergeCell ref="B8:B9"/>
    <mergeCell ref="D8:D9"/>
    <mergeCell ref="E8:H8"/>
    <mergeCell ref="A35:B35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view="pageBreakPreview" topLeftCell="A7" zoomScale="85" zoomScaleNormal="70" zoomScaleSheetLayoutView="85" workbookViewId="0">
      <selection activeCell="O32" sqref="O32"/>
    </sheetView>
  </sheetViews>
  <sheetFormatPr defaultRowHeight="12.75" x14ac:dyDescent="0.2"/>
  <cols>
    <col min="1" max="1" width="7.28515625" style="171" customWidth="1"/>
    <col min="2" max="2" width="26" style="171" customWidth="1"/>
    <col min="3" max="5" width="11.28515625" style="171" customWidth="1"/>
    <col min="6" max="6" width="13.28515625" style="171" customWidth="1"/>
    <col min="7" max="7" width="12.28515625" style="171" customWidth="1"/>
    <col min="8" max="8" width="12.42578125" style="171" bestFit="1" customWidth="1"/>
    <col min="9" max="9" width="13.42578125" style="171" customWidth="1"/>
    <col min="10" max="10" width="12" style="171" customWidth="1"/>
    <col min="11" max="12" width="10" style="171" customWidth="1"/>
    <col min="13" max="13" width="10.28515625" style="171" customWidth="1"/>
    <col min="14" max="14" width="10.7109375" style="171" customWidth="1"/>
    <col min="15" max="18" width="9.140625" style="171"/>
    <col min="19" max="21" width="8.85546875" style="171" customWidth="1"/>
    <col min="22" max="16384" width="9.140625" style="171"/>
  </cols>
  <sheetData>
    <row r="1" spans="1:24" ht="15" x14ac:dyDescent="0.2">
      <c r="V1" s="172" t="s">
        <v>535</v>
      </c>
    </row>
    <row r="2" spans="1:24" ht="15.75" x14ac:dyDescent="0.25">
      <c r="G2" s="123" t="s">
        <v>0</v>
      </c>
      <c r="H2" s="123"/>
      <c r="I2" s="123"/>
      <c r="O2" s="81"/>
      <c r="P2" s="81"/>
      <c r="Q2" s="81"/>
      <c r="R2" s="81"/>
    </row>
    <row r="3" spans="1:24" ht="20.25" x14ac:dyDescent="0.3">
      <c r="C3" s="844" t="s">
        <v>694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8" x14ac:dyDescent="0.25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4" ht="15.75" x14ac:dyDescent="0.25">
      <c r="B5" s="845" t="s">
        <v>834</v>
      </c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2"/>
      <c r="U5" s="846" t="s">
        <v>241</v>
      </c>
      <c r="V5" s="847"/>
    </row>
    <row r="6" spans="1:24" ht="15" x14ac:dyDescent="0.2">
      <c r="K6" s="81"/>
      <c r="L6" s="81"/>
      <c r="M6" s="81"/>
      <c r="N6" s="81"/>
      <c r="O6" s="81"/>
      <c r="P6" s="81"/>
      <c r="Q6" s="81"/>
      <c r="R6" s="81"/>
    </row>
    <row r="7" spans="1:24" x14ac:dyDescent="0.2">
      <c r="A7" s="33" t="s">
        <v>1098</v>
      </c>
      <c r="B7" s="597"/>
      <c r="O7" s="848" t="s">
        <v>769</v>
      </c>
      <c r="P7" s="848"/>
      <c r="Q7" s="848"/>
      <c r="R7" s="848"/>
      <c r="S7" s="848"/>
      <c r="T7" s="848"/>
      <c r="U7" s="848"/>
      <c r="V7" s="848"/>
    </row>
    <row r="8" spans="1:24" ht="35.25" customHeight="1" x14ac:dyDescent="0.2">
      <c r="A8" s="834" t="s">
        <v>1</v>
      </c>
      <c r="B8" s="834" t="s">
        <v>140</v>
      </c>
      <c r="C8" s="849" t="s">
        <v>141</v>
      </c>
      <c r="D8" s="849"/>
      <c r="E8" s="849"/>
      <c r="F8" s="849" t="s">
        <v>142</v>
      </c>
      <c r="G8" s="834" t="s">
        <v>170</v>
      </c>
      <c r="H8" s="834"/>
      <c r="I8" s="834"/>
      <c r="J8" s="834"/>
      <c r="K8" s="834"/>
      <c r="L8" s="834"/>
      <c r="M8" s="834"/>
      <c r="N8" s="834"/>
      <c r="O8" s="834" t="s">
        <v>171</v>
      </c>
      <c r="P8" s="834"/>
      <c r="Q8" s="834"/>
      <c r="R8" s="834"/>
      <c r="S8" s="834"/>
      <c r="T8" s="834"/>
      <c r="U8" s="834"/>
      <c r="V8" s="834"/>
    </row>
    <row r="9" spans="1:24" ht="15" x14ac:dyDescent="0.2">
      <c r="A9" s="834"/>
      <c r="B9" s="834"/>
      <c r="C9" s="849" t="s">
        <v>242</v>
      </c>
      <c r="D9" s="849" t="s">
        <v>39</v>
      </c>
      <c r="E9" s="849" t="s">
        <v>40</v>
      </c>
      <c r="F9" s="849"/>
      <c r="G9" s="834" t="s">
        <v>172</v>
      </c>
      <c r="H9" s="834"/>
      <c r="I9" s="834"/>
      <c r="J9" s="834"/>
      <c r="K9" s="834" t="s">
        <v>156</v>
      </c>
      <c r="L9" s="834"/>
      <c r="M9" s="834"/>
      <c r="N9" s="834"/>
      <c r="O9" s="834" t="s">
        <v>143</v>
      </c>
      <c r="P9" s="834"/>
      <c r="Q9" s="834"/>
      <c r="R9" s="834"/>
      <c r="S9" s="834" t="s">
        <v>155</v>
      </c>
      <c r="T9" s="834"/>
      <c r="U9" s="834"/>
      <c r="V9" s="834"/>
    </row>
    <row r="10" spans="1:24" x14ac:dyDescent="0.2">
      <c r="A10" s="834"/>
      <c r="B10" s="834"/>
      <c r="C10" s="849"/>
      <c r="D10" s="849"/>
      <c r="E10" s="849"/>
      <c r="F10" s="849"/>
      <c r="G10" s="850" t="s">
        <v>144</v>
      </c>
      <c r="H10" s="851"/>
      <c r="I10" s="852"/>
      <c r="J10" s="835" t="s">
        <v>145</v>
      </c>
      <c r="K10" s="838" t="s">
        <v>144</v>
      </c>
      <c r="L10" s="839"/>
      <c r="M10" s="840"/>
      <c r="N10" s="835" t="s">
        <v>145</v>
      </c>
      <c r="O10" s="838" t="s">
        <v>144</v>
      </c>
      <c r="P10" s="839"/>
      <c r="Q10" s="840"/>
      <c r="R10" s="835" t="s">
        <v>145</v>
      </c>
      <c r="S10" s="838" t="s">
        <v>144</v>
      </c>
      <c r="T10" s="839"/>
      <c r="U10" s="840"/>
      <c r="V10" s="835" t="s">
        <v>145</v>
      </c>
    </row>
    <row r="11" spans="1:24" ht="15" customHeight="1" x14ac:dyDescent="0.2">
      <c r="A11" s="834"/>
      <c r="B11" s="834"/>
      <c r="C11" s="849"/>
      <c r="D11" s="849"/>
      <c r="E11" s="849"/>
      <c r="F11" s="849"/>
      <c r="G11" s="853"/>
      <c r="H11" s="854"/>
      <c r="I11" s="855"/>
      <c r="J11" s="836"/>
      <c r="K11" s="841"/>
      <c r="L11" s="842"/>
      <c r="M11" s="843"/>
      <c r="N11" s="836"/>
      <c r="O11" s="841"/>
      <c r="P11" s="842"/>
      <c r="Q11" s="843"/>
      <c r="R11" s="836"/>
      <c r="S11" s="841"/>
      <c r="T11" s="842"/>
      <c r="U11" s="843"/>
      <c r="V11" s="836"/>
    </row>
    <row r="12" spans="1:24" ht="15" x14ac:dyDescent="0.2">
      <c r="A12" s="834"/>
      <c r="B12" s="834"/>
      <c r="C12" s="849"/>
      <c r="D12" s="849"/>
      <c r="E12" s="849"/>
      <c r="F12" s="849"/>
      <c r="G12" s="175" t="s">
        <v>242</v>
      </c>
      <c r="H12" s="175" t="s">
        <v>39</v>
      </c>
      <c r="I12" s="176" t="s">
        <v>40</v>
      </c>
      <c r="J12" s="837"/>
      <c r="K12" s="174" t="s">
        <v>242</v>
      </c>
      <c r="L12" s="174" t="s">
        <v>39</v>
      </c>
      <c r="M12" s="174" t="s">
        <v>40</v>
      </c>
      <c r="N12" s="837"/>
      <c r="O12" s="174" t="s">
        <v>242</v>
      </c>
      <c r="P12" s="174" t="s">
        <v>39</v>
      </c>
      <c r="Q12" s="174" t="s">
        <v>40</v>
      </c>
      <c r="R12" s="837"/>
      <c r="S12" s="174" t="s">
        <v>242</v>
      </c>
      <c r="T12" s="174" t="s">
        <v>39</v>
      </c>
      <c r="U12" s="174" t="s">
        <v>40</v>
      </c>
      <c r="V12" s="837"/>
    </row>
    <row r="13" spans="1:24" ht="15" x14ac:dyDescent="0.2">
      <c r="A13" s="174">
        <v>1</v>
      </c>
      <c r="B13" s="174">
        <v>2</v>
      </c>
      <c r="C13" s="174">
        <v>3</v>
      </c>
      <c r="D13" s="174">
        <v>4</v>
      </c>
      <c r="E13" s="174">
        <v>5</v>
      </c>
      <c r="F13" s="174">
        <v>6</v>
      </c>
      <c r="G13" s="174">
        <v>7</v>
      </c>
      <c r="H13" s="174">
        <v>8</v>
      </c>
      <c r="I13" s="174">
        <v>9</v>
      </c>
      <c r="J13" s="174">
        <v>10</v>
      </c>
      <c r="K13" s="174">
        <v>11</v>
      </c>
      <c r="L13" s="174">
        <v>12</v>
      </c>
      <c r="M13" s="174">
        <v>13</v>
      </c>
      <c r="N13" s="174">
        <v>14</v>
      </c>
      <c r="O13" s="174">
        <v>15</v>
      </c>
      <c r="P13" s="174">
        <v>16</v>
      </c>
      <c r="Q13" s="174">
        <v>17</v>
      </c>
      <c r="R13" s="174">
        <v>18</v>
      </c>
      <c r="S13" s="174">
        <v>19</v>
      </c>
      <c r="T13" s="174">
        <v>20</v>
      </c>
      <c r="U13" s="174">
        <v>21</v>
      </c>
      <c r="V13" s="174">
        <v>22</v>
      </c>
    </row>
    <row r="14" spans="1:24" ht="15" customHeight="1" x14ac:dyDescent="0.2">
      <c r="A14" s="858" t="s">
        <v>202</v>
      </c>
      <c r="B14" s="859"/>
      <c r="C14" s="859"/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60"/>
    </row>
    <row r="15" spans="1:24" s="381" customFormat="1" ht="38.25" x14ac:dyDescent="0.2">
      <c r="A15" s="175">
        <v>1</v>
      </c>
      <c r="B15" s="379" t="s">
        <v>201</v>
      </c>
      <c r="C15" s="340">
        <v>4047.55</v>
      </c>
      <c r="D15" s="340">
        <v>1048.57</v>
      </c>
      <c r="E15" s="340">
        <v>2027.33</v>
      </c>
      <c r="F15" s="340" t="s">
        <v>921</v>
      </c>
      <c r="G15" s="340">
        <v>4047.55</v>
      </c>
      <c r="H15" s="340">
        <v>1048.57</v>
      </c>
      <c r="I15" s="340">
        <v>2027.33</v>
      </c>
      <c r="J15" s="340" t="s">
        <v>934</v>
      </c>
      <c r="K15" s="340">
        <v>4047.55</v>
      </c>
      <c r="L15" s="340">
        <v>1048.57</v>
      </c>
      <c r="M15" s="340">
        <v>2027.33</v>
      </c>
      <c r="N15" s="340" t="s">
        <v>930</v>
      </c>
      <c r="O15" s="380"/>
      <c r="P15" s="380"/>
      <c r="Q15" s="380"/>
      <c r="R15" s="380"/>
      <c r="S15" s="380"/>
      <c r="T15" s="380"/>
      <c r="U15" s="380"/>
      <c r="V15" s="380"/>
    </row>
    <row r="16" spans="1:24" s="381" customFormat="1" ht="25.5" x14ac:dyDescent="0.2">
      <c r="A16" s="175">
        <v>2</v>
      </c>
      <c r="B16" s="379" t="s">
        <v>146</v>
      </c>
      <c r="C16" s="340">
        <v>6825.9</v>
      </c>
      <c r="D16" s="340">
        <v>1768.34</v>
      </c>
      <c r="E16" s="340">
        <v>3418.96</v>
      </c>
      <c r="F16" s="340" t="s">
        <v>920</v>
      </c>
      <c r="G16" s="340">
        <v>6825.9</v>
      </c>
      <c r="H16" s="340">
        <v>1768.34</v>
      </c>
      <c r="I16" s="340">
        <v>3418.96</v>
      </c>
      <c r="J16" s="340" t="s">
        <v>935</v>
      </c>
      <c r="K16" s="340">
        <v>6825.9</v>
      </c>
      <c r="L16" s="340">
        <v>1768.34</v>
      </c>
      <c r="M16" s="340">
        <v>3418.96</v>
      </c>
      <c r="N16" s="340" t="s">
        <v>931</v>
      </c>
      <c r="O16" s="380"/>
      <c r="P16" s="380"/>
      <c r="Q16" s="380"/>
      <c r="R16" s="380"/>
      <c r="S16" s="380"/>
      <c r="T16" s="380"/>
      <c r="U16" s="380"/>
      <c r="V16" s="380"/>
    </row>
    <row r="17" spans="1:24" s="381" customFormat="1" ht="38.25" x14ac:dyDescent="0.2">
      <c r="A17" s="175">
        <v>3</v>
      </c>
      <c r="B17" s="379" t="s">
        <v>147</v>
      </c>
      <c r="C17" s="340">
        <v>8034.97</v>
      </c>
      <c r="D17" s="340">
        <v>2084.92</v>
      </c>
      <c r="E17" s="340">
        <v>3986.45</v>
      </c>
      <c r="F17" s="340" t="s">
        <v>919</v>
      </c>
      <c r="G17" s="378">
        <v>7349.78</v>
      </c>
      <c r="H17" s="378">
        <v>1925.5518</v>
      </c>
      <c r="I17" s="378">
        <v>3715.5246000000002</v>
      </c>
      <c r="J17" s="340" t="s">
        <v>936</v>
      </c>
      <c r="K17" s="378">
        <v>7349.78</v>
      </c>
      <c r="L17" s="378">
        <v>1925.5518</v>
      </c>
      <c r="M17" s="378">
        <v>3715.5246000000002</v>
      </c>
      <c r="N17" s="340" t="s">
        <v>932</v>
      </c>
      <c r="O17" s="380"/>
      <c r="P17" s="380"/>
      <c r="Q17" s="380"/>
      <c r="R17" s="380"/>
      <c r="S17" s="380"/>
      <c r="T17" s="380"/>
      <c r="U17" s="380"/>
      <c r="V17" s="380"/>
    </row>
    <row r="18" spans="1:24" s="381" customFormat="1" ht="15" customHeight="1" x14ac:dyDescent="0.2">
      <c r="A18" s="861" t="s">
        <v>203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3"/>
    </row>
    <row r="19" spans="1:24" s="381" customFormat="1" ht="15" x14ac:dyDescent="0.2">
      <c r="A19" s="175">
        <v>4</v>
      </c>
      <c r="B19" s="379" t="s">
        <v>192</v>
      </c>
      <c r="C19" s="340">
        <v>0</v>
      </c>
      <c r="D19" s="340">
        <v>0</v>
      </c>
      <c r="E19" s="340">
        <v>0</v>
      </c>
      <c r="F19" s="340" t="s">
        <v>6</v>
      </c>
      <c r="G19" s="340">
        <v>0</v>
      </c>
      <c r="H19" s="340">
        <v>0</v>
      </c>
      <c r="I19" s="340">
        <v>0</v>
      </c>
      <c r="J19" s="340" t="s">
        <v>6</v>
      </c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</row>
    <row r="20" spans="1:24" s="381" customFormat="1" ht="25.5" x14ac:dyDescent="0.2">
      <c r="A20" s="175">
        <v>5</v>
      </c>
      <c r="B20" s="379" t="s">
        <v>125</v>
      </c>
      <c r="C20" s="340">
        <f>154.38</f>
        <v>154.38</v>
      </c>
      <c r="D20" s="340">
        <f>42.96</f>
        <v>42.96</v>
      </c>
      <c r="E20" s="340">
        <v>66.459999999999994</v>
      </c>
      <c r="F20" s="340" t="s">
        <v>922</v>
      </c>
      <c r="G20" s="340">
        <f>154.38</f>
        <v>154.38</v>
      </c>
      <c r="H20" s="340">
        <f>42.96</f>
        <v>42.96</v>
      </c>
      <c r="I20" s="340">
        <v>66.459999999999994</v>
      </c>
      <c r="J20" s="340" t="s">
        <v>937</v>
      </c>
      <c r="K20" s="340">
        <f>154.38</f>
        <v>154.38</v>
      </c>
      <c r="L20" s="340">
        <f>42.96</f>
        <v>42.96</v>
      </c>
      <c r="M20" s="340">
        <v>66.459999999999994</v>
      </c>
      <c r="N20" s="340" t="s">
        <v>933</v>
      </c>
      <c r="O20" s="380"/>
      <c r="P20" s="380"/>
      <c r="Q20" s="380"/>
      <c r="R20" s="380"/>
      <c r="S20" s="380"/>
      <c r="T20" s="380"/>
      <c r="U20" s="380"/>
      <c r="V20" s="380"/>
    </row>
    <row r="23" spans="1:24" ht="14.25" x14ac:dyDescent="0.2">
      <c r="A23" s="864" t="s">
        <v>157</v>
      </c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</row>
    <row r="24" spans="1:24" ht="14.25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</row>
    <row r="25" spans="1:24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24" ht="15.75" x14ac:dyDescent="0.25">
      <c r="A26" s="673" t="s">
        <v>11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673"/>
      <c r="M26" s="673"/>
      <c r="N26" s="857" t="s">
        <v>1107</v>
      </c>
      <c r="O26" s="857"/>
      <c r="P26" s="857"/>
      <c r="Q26" s="857"/>
      <c r="R26" s="857"/>
      <c r="S26" s="857"/>
      <c r="T26" s="857"/>
      <c r="U26" s="857"/>
      <c r="V26" s="857"/>
      <c r="W26" s="669"/>
      <c r="X26" s="669"/>
    </row>
    <row r="27" spans="1:24" ht="15.75" x14ac:dyDescent="0.2">
      <c r="A27" s="857" t="s">
        <v>1108</v>
      </c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669"/>
      <c r="X27" s="669"/>
    </row>
    <row r="28" spans="1:24" ht="15.75" x14ac:dyDescent="0.2">
      <c r="A28" s="857" t="s">
        <v>1112</v>
      </c>
      <c r="B28" s="857"/>
      <c r="C28" s="857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669"/>
      <c r="X28" s="669"/>
    </row>
    <row r="29" spans="1:24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669"/>
      <c r="O29" s="669"/>
      <c r="P29" s="669"/>
      <c r="Q29" s="669"/>
      <c r="R29" s="669"/>
      <c r="S29" s="669"/>
      <c r="T29" s="669"/>
      <c r="U29" s="669"/>
      <c r="V29" s="856" t="s">
        <v>1110</v>
      </c>
      <c r="W29" s="856"/>
      <c r="X29" s="856"/>
    </row>
    <row r="30" spans="1:24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2" spans="1:24" x14ac:dyDescent="0.2">
      <c r="H32" s="171">
        <f>4894.62-4815.86</f>
        <v>78.760000000000218</v>
      </c>
      <c r="I32" s="171">
        <f>1957.85-1769.9046-109.1818</f>
        <v>78.76359999999984</v>
      </c>
    </row>
    <row r="33" spans="8:9" x14ac:dyDescent="0.2">
      <c r="H33" s="171">
        <f>24456.85-23420.13</f>
        <v>1036.7199999999975</v>
      </c>
      <c r="I33" s="171">
        <f>10521.31-9071.59-413</f>
        <v>1036.7199999999993</v>
      </c>
    </row>
    <row r="34" spans="8:9" x14ac:dyDescent="0.2">
      <c r="H34" s="171">
        <f>SUM(H32:H33)</f>
        <v>1115.4799999999977</v>
      </c>
    </row>
  </sheetData>
  <mergeCells count="32">
    <mergeCell ref="V29:X29"/>
    <mergeCell ref="A27:V27"/>
    <mergeCell ref="A28:V28"/>
    <mergeCell ref="A14:V14"/>
    <mergeCell ref="A18:V18"/>
    <mergeCell ref="A23:V23"/>
    <mergeCell ref="N26:V26"/>
    <mergeCell ref="G10:I11"/>
    <mergeCell ref="J10:J12"/>
    <mergeCell ref="K10:M11"/>
    <mergeCell ref="N10:N12"/>
    <mergeCell ref="C9:C12"/>
    <mergeCell ref="D9:D12"/>
    <mergeCell ref="E9:E12"/>
    <mergeCell ref="G9:J9"/>
    <mergeCell ref="K9:N9"/>
    <mergeCell ref="C3:N3"/>
    <mergeCell ref="B5:S5"/>
    <mergeCell ref="U5:V5"/>
    <mergeCell ref="O7:V7"/>
    <mergeCell ref="O8:V8"/>
    <mergeCell ref="A8:A12"/>
    <mergeCell ref="B8:B12"/>
    <mergeCell ref="C8:E8"/>
    <mergeCell ref="F8:F12"/>
    <mergeCell ref="G8:N8"/>
    <mergeCell ref="O9:R9"/>
    <mergeCell ref="S9:V9"/>
    <mergeCell ref="R10:R12"/>
    <mergeCell ref="O10:Q11"/>
    <mergeCell ref="V10:V12"/>
    <mergeCell ref="S10:U11"/>
  </mergeCells>
  <printOptions horizontalCentered="1"/>
  <pageMargins left="0.70866141732283472" right="0.70866141732283472" top="0.23622047244094491" bottom="0" header="0.31496062992125984" footer="0.31496062992125984"/>
  <pageSetup paperSize="9" scale="54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BreakPreview" topLeftCell="A21" zoomScaleNormal="70" zoomScaleSheetLayoutView="100" workbookViewId="0">
      <selection activeCell="A39" sqref="A39:N42"/>
    </sheetView>
  </sheetViews>
  <sheetFormatPr defaultRowHeight="12.75" x14ac:dyDescent="0.2"/>
  <cols>
    <col min="1" max="1" width="5.5703125" style="236" customWidth="1"/>
    <col min="2" max="2" width="16.28515625" style="236" customWidth="1"/>
    <col min="3" max="3" width="10.28515625" style="236" customWidth="1"/>
    <col min="4" max="4" width="12.85546875" style="236" customWidth="1"/>
    <col min="5" max="6" width="8.7109375" style="228" customWidth="1"/>
    <col min="7" max="7" width="8" style="228" customWidth="1"/>
    <col min="8" max="10" width="8.140625" style="228" customWidth="1"/>
    <col min="11" max="11" width="8.42578125" style="228" customWidth="1"/>
    <col min="12" max="12" width="8.140625" style="228" customWidth="1"/>
    <col min="13" max="13" width="11.28515625" style="228" customWidth="1"/>
    <col min="14" max="14" width="11.85546875" style="228" customWidth="1"/>
    <col min="15" max="15" width="10.85546875" style="236" customWidth="1"/>
    <col min="16" max="16" width="10.5703125" style="236" customWidth="1"/>
    <col min="17" max="16384" width="9.140625" style="228"/>
  </cols>
  <sheetData>
    <row r="1" spans="1:16" ht="12.75" customHeight="1" x14ac:dyDescent="0.2">
      <c r="D1" s="1088"/>
      <c r="E1" s="1088"/>
      <c r="F1" s="236"/>
      <c r="G1" s="236"/>
      <c r="H1" s="236"/>
      <c r="I1" s="236"/>
      <c r="J1" s="236"/>
      <c r="K1" s="236"/>
      <c r="L1" s="236"/>
      <c r="M1" s="1090" t="s">
        <v>652</v>
      </c>
      <c r="N1" s="1090"/>
    </row>
    <row r="2" spans="1:16" ht="15.75" x14ac:dyDescent="0.25">
      <c r="A2" s="1096" t="s">
        <v>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</row>
    <row r="3" spans="1:16" ht="18" x14ac:dyDescent="0.25">
      <c r="A3" s="1097" t="s">
        <v>694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</row>
    <row r="4" spans="1:16" ht="9.75" customHeight="1" x14ac:dyDescent="0.2">
      <c r="A4" s="1100" t="s">
        <v>704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</row>
    <row r="5" spans="1:16" s="229" customFormat="1" ht="18.75" customHeight="1" x14ac:dyDescent="0.2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283"/>
      <c r="P5" s="283"/>
    </row>
    <row r="6" spans="1:16" x14ac:dyDescent="0.2">
      <c r="A6" s="1089"/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</row>
    <row r="7" spans="1:16" x14ac:dyDescent="0.2">
      <c r="A7" s="191" t="s">
        <v>1098</v>
      </c>
      <c r="B7" s="191"/>
      <c r="D7" s="237"/>
      <c r="E7" s="236"/>
      <c r="F7" s="236"/>
      <c r="G7" s="236"/>
      <c r="H7" s="1082"/>
      <c r="I7" s="1082"/>
      <c r="J7" s="1082"/>
      <c r="K7" s="1082"/>
      <c r="L7" s="1082"/>
      <c r="M7" s="1082"/>
      <c r="N7" s="1082"/>
    </row>
    <row r="8" spans="1:16" ht="46.5" customHeight="1" x14ac:dyDescent="0.2">
      <c r="A8" s="999" t="s">
        <v>1</v>
      </c>
      <c r="B8" s="999" t="s">
        <v>2</v>
      </c>
      <c r="C8" s="1098" t="s">
        <v>481</v>
      </c>
      <c r="D8" s="1094" t="s">
        <v>80</v>
      </c>
      <c r="E8" s="1083" t="s">
        <v>81</v>
      </c>
      <c r="F8" s="1084"/>
      <c r="G8" s="1084"/>
      <c r="H8" s="1085"/>
      <c r="I8" s="999" t="s">
        <v>646</v>
      </c>
      <c r="J8" s="999"/>
      <c r="K8" s="999"/>
      <c r="L8" s="999"/>
      <c r="M8" s="999"/>
      <c r="N8" s="999"/>
      <c r="O8" s="1087" t="s">
        <v>842</v>
      </c>
      <c r="P8" s="1087"/>
    </row>
    <row r="9" spans="1:16" ht="44.45" customHeight="1" x14ac:dyDescent="0.2">
      <c r="A9" s="999"/>
      <c r="B9" s="999"/>
      <c r="C9" s="1099"/>
      <c r="D9" s="1095"/>
      <c r="E9" s="238" t="s">
        <v>85</v>
      </c>
      <c r="F9" s="238" t="s">
        <v>17</v>
      </c>
      <c r="G9" s="238" t="s">
        <v>38</v>
      </c>
      <c r="H9" s="238" t="s">
        <v>681</v>
      </c>
      <c r="I9" s="238" t="s">
        <v>15</v>
      </c>
      <c r="J9" s="238" t="s">
        <v>647</v>
      </c>
      <c r="K9" s="238" t="s">
        <v>648</v>
      </c>
      <c r="L9" s="238" t="s">
        <v>649</v>
      </c>
      <c r="M9" s="238" t="s">
        <v>650</v>
      </c>
      <c r="N9" s="238" t="s">
        <v>651</v>
      </c>
      <c r="O9" s="238" t="s">
        <v>855</v>
      </c>
      <c r="P9" s="238" t="s">
        <v>853</v>
      </c>
    </row>
    <row r="10" spans="1:16" s="290" customFormat="1" x14ac:dyDescent="0.2">
      <c r="A10" s="288">
        <v>1</v>
      </c>
      <c r="B10" s="288">
        <v>2</v>
      </c>
      <c r="C10" s="288">
        <v>3</v>
      </c>
      <c r="D10" s="288">
        <v>8</v>
      </c>
      <c r="E10" s="288">
        <v>9</v>
      </c>
      <c r="F10" s="288">
        <v>10</v>
      </c>
      <c r="G10" s="288">
        <v>11</v>
      </c>
      <c r="H10" s="288">
        <v>12</v>
      </c>
      <c r="I10" s="288">
        <v>9</v>
      </c>
      <c r="J10" s="288">
        <v>10</v>
      </c>
      <c r="K10" s="288">
        <v>11</v>
      </c>
      <c r="L10" s="288">
        <v>12</v>
      </c>
      <c r="M10" s="288">
        <v>13</v>
      </c>
      <c r="N10" s="288">
        <v>14</v>
      </c>
      <c r="O10" s="288">
        <v>15</v>
      </c>
      <c r="P10" s="288">
        <v>16</v>
      </c>
    </row>
    <row r="11" spans="1:16" x14ac:dyDescent="0.2">
      <c r="A11" s="240">
        <v>1</v>
      </c>
      <c r="B11" s="351" t="s">
        <v>875</v>
      </c>
      <c r="C11" s="438">
        <v>145867</v>
      </c>
      <c r="D11" s="263">
        <v>25</v>
      </c>
      <c r="E11" s="441">
        <f>F11</f>
        <v>364.66750000000002</v>
      </c>
      <c r="F11" s="441">
        <f>C11*D11*0.0001</f>
        <v>364.66750000000002</v>
      </c>
      <c r="G11" s="241"/>
      <c r="H11" s="241"/>
      <c r="I11" s="441">
        <f>J11+K11</f>
        <v>72.933500000000009</v>
      </c>
      <c r="J11" s="441">
        <f>C11*D11*0.00001</f>
        <v>36.466750000000005</v>
      </c>
      <c r="K11" s="441">
        <f>J11</f>
        <v>36.466750000000005</v>
      </c>
      <c r="L11" s="241"/>
      <c r="M11" s="241"/>
      <c r="N11" s="241"/>
      <c r="O11" s="441">
        <v>117.5</v>
      </c>
      <c r="P11" s="441">
        <f>F11*1175/100000</f>
        <v>4.2848431250000001</v>
      </c>
    </row>
    <row r="12" spans="1:16" x14ac:dyDescent="0.2">
      <c r="A12" s="240">
        <v>2</v>
      </c>
      <c r="B12" s="351" t="s">
        <v>876</v>
      </c>
      <c r="C12" s="438">
        <v>49122</v>
      </c>
      <c r="D12" s="263">
        <v>25</v>
      </c>
      <c r="E12" s="441">
        <f t="shared" ref="E12:E34" si="0">F12</f>
        <v>122.80500000000001</v>
      </c>
      <c r="F12" s="441">
        <f t="shared" ref="F12:F34" si="1">C12*D12*0.0001</f>
        <v>122.80500000000001</v>
      </c>
      <c r="G12" s="241"/>
      <c r="H12" s="241"/>
      <c r="I12" s="441">
        <f t="shared" ref="I12:I34" si="2">J12+K12</f>
        <v>24.561000000000003</v>
      </c>
      <c r="J12" s="441">
        <f t="shared" ref="J12:J34" si="3">C12*D12*0.00001</f>
        <v>12.280500000000002</v>
      </c>
      <c r="K12" s="441">
        <f t="shared" ref="K12:K34" si="4">J12</f>
        <v>12.280500000000002</v>
      </c>
      <c r="L12" s="241"/>
      <c r="M12" s="241"/>
      <c r="N12" s="241"/>
      <c r="O12" s="441">
        <v>117.5</v>
      </c>
      <c r="P12" s="441">
        <f t="shared" ref="P12:P34" si="5">F12*1175/100000</f>
        <v>1.4429587500000001</v>
      </c>
    </row>
    <row r="13" spans="1:16" x14ac:dyDescent="0.2">
      <c r="A13" s="240">
        <v>3</v>
      </c>
      <c r="B13" s="351" t="s">
        <v>877</v>
      </c>
      <c r="C13" s="438">
        <v>38542</v>
      </c>
      <c r="D13" s="263">
        <v>25</v>
      </c>
      <c r="E13" s="441">
        <f t="shared" si="0"/>
        <v>96.355000000000004</v>
      </c>
      <c r="F13" s="441">
        <f t="shared" si="1"/>
        <v>96.355000000000004</v>
      </c>
      <c r="G13" s="241"/>
      <c r="H13" s="241"/>
      <c r="I13" s="441">
        <f t="shared" si="2"/>
        <v>19.271000000000001</v>
      </c>
      <c r="J13" s="441">
        <f t="shared" si="3"/>
        <v>9.6355000000000004</v>
      </c>
      <c r="K13" s="441">
        <f t="shared" si="4"/>
        <v>9.6355000000000004</v>
      </c>
      <c r="L13" s="241"/>
      <c r="M13" s="241"/>
      <c r="N13" s="241"/>
      <c r="O13" s="441">
        <v>117.5</v>
      </c>
      <c r="P13" s="441">
        <f t="shared" si="5"/>
        <v>1.1321712500000001</v>
      </c>
    </row>
    <row r="14" spans="1:16" x14ac:dyDescent="0.2">
      <c r="A14" s="240">
        <v>4</v>
      </c>
      <c r="B14" s="351" t="s">
        <v>878</v>
      </c>
      <c r="C14" s="438">
        <v>0</v>
      </c>
      <c r="D14" s="263">
        <v>0</v>
      </c>
      <c r="E14" s="441">
        <f t="shared" si="0"/>
        <v>0</v>
      </c>
      <c r="F14" s="441">
        <f t="shared" si="1"/>
        <v>0</v>
      </c>
      <c r="G14" s="241"/>
      <c r="H14" s="241"/>
      <c r="I14" s="441">
        <f t="shared" si="2"/>
        <v>0</v>
      </c>
      <c r="J14" s="441">
        <f t="shared" si="3"/>
        <v>0</v>
      </c>
      <c r="K14" s="441">
        <f t="shared" si="4"/>
        <v>0</v>
      </c>
      <c r="L14" s="241"/>
      <c r="M14" s="241"/>
      <c r="N14" s="241"/>
      <c r="O14" s="441">
        <v>117.5</v>
      </c>
      <c r="P14" s="441">
        <f t="shared" si="5"/>
        <v>0</v>
      </c>
    </row>
    <row r="15" spans="1:16" x14ac:dyDescent="0.2">
      <c r="A15" s="240">
        <v>5</v>
      </c>
      <c r="B15" s="351" t="s">
        <v>879</v>
      </c>
      <c r="C15" s="438">
        <v>0</v>
      </c>
      <c r="D15" s="263">
        <v>0</v>
      </c>
      <c r="E15" s="441">
        <f t="shared" si="0"/>
        <v>0</v>
      </c>
      <c r="F15" s="441">
        <f t="shared" si="1"/>
        <v>0</v>
      </c>
      <c r="G15" s="241"/>
      <c r="H15" s="241"/>
      <c r="I15" s="441">
        <f t="shared" si="2"/>
        <v>0</v>
      </c>
      <c r="J15" s="441">
        <f t="shared" si="3"/>
        <v>0</v>
      </c>
      <c r="K15" s="441">
        <f t="shared" si="4"/>
        <v>0</v>
      </c>
      <c r="L15" s="241"/>
      <c r="M15" s="241"/>
      <c r="N15" s="241"/>
      <c r="O15" s="441">
        <v>117.5</v>
      </c>
      <c r="P15" s="441">
        <f t="shared" si="5"/>
        <v>0</v>
      </c>
    </row>
    <row r="16" spans="1:16" x14ac:dyDescent="0.2">
      <c r="A16" s="240">
        <v>6</v>
      </c>
      <c r="B16" s="351" t="s">
        <v>880</v>
      </c>
      <c r="C16" s="438">
        <v>0</v>
      </c>
      <c r="D16" s="263">
        <v>0</v>
      </c>
      <c r="E16" s="441">
        <f t="shared" si="0"/>
        <v>0</v>
      </c>
      <c r="F16" s="441">
        <f t="shared" si="1"/>
        <v>0</v>
      </c>
      <c r="G16" s="241"/>
      <c r="H16" s="241"/>
      <c r="I16" s="441">
        <f t="shared" si="2"/>
        <v>0</v>
      </c>
      <c r="J16" s="441">
        <f t="shared" si="3"/>
        <v>0</v>
      </c>
      <c r="K16" s="441">
        <f t="shared" si="4"/>
        <v>0</v>
      </c>
      <c r="L16" s="241"/>
      <c r="M16" s="241"/>
      <c r="N16" s="241"/>
      <c r="O16" s="441">
        <v>117.5</v>
      </c>
      <c r="P16" s="441">
        <f t="shared" si="5"/>
        <v>0</v>
      </c>
    </row>
    <row r="17" spans="1:16" x14ac:dyDescent="0.2">
      <c r="A17" s="240">
        <v>7</v>
      </c>
      <c r="B17" s="351" t="s">
        <v>923</v>
      </c>
      <c r="C17" s="438">
        <v>0</v>
      </c>
      <c r="D17" s="263">
        <v>0</v>
      </c>
      <c r="E17" s="441">
        <f t="shared" si="0"/>
        <v>0</v>
      </c>
      <c r="F17" s="441">
        <f t="shared" si="1"/>
        <v>0</v>
      </c>
      <c r="G17" s="241"/>
      <c r="H17" s="241"/>
      <c r="I17" s="441">
        <f t="shared" si="2"/>
        <v>0</v>
      </c>
      <c r="J17" s="441">
        <f t="shared" si="3"/>
        <v>0</v>
      </c>
      <c r="K17" s="441">
        <f t="shared" si="4"/>
        <v>0</v>
      </c>
      <c r="L17" s="241"/>
      <c r="M17" s="241"/>
      <c r="N17" s="241"/>
      <c r="O17" s="441">
        <v>117.5</v>
      </c>
      <c r="P17" s="441">
        <f t="shared" si="5"/>
        <v>0</v>
      </c>
    </row>
    <row r="18" spans="1:16" x14ac:dyDescent="0.2">
      <c r="A18" s="240">
        <v>8</v>
      </c>
      <c r="B18" s="351" t="s">
        <v>882</v>
      </c>
      <c r="C18" s="438">
        <v>0</v>
      </c>
      <c r="D18" s="263">
        <v>0</v>
      </c>
      <c r="E18" s="441">
        <f t="shared" si="0"/>
        <v>0</v>
      </c>
      <c r="F18" s="441">
        <f t="shared" si="1"/>
        <v>0</v>
      </c>
      <c r="G18" s="241"/>
      <c r="H18" s="241"/>
      <c r="I18" s="441">
        <f t="shared" si="2"/>
        <v>0</v>
      </c>
      <c r="J18" s="441">
        <f t="shared" si="3"/>
        <v>0</v>
      </c>
      <c r="K18" s="441">
        <f t="shared" si="4"/>
        <v>0</v>
      </c>
      <c r="L18" s="241"/>
      <c r="M18" s="241"/>
      <c r="N18" s="241"/>
      <c r="O18" s="441">
        <v>117.5</v>
      </c>
      <c r="P18" s="441">
        <f t="shared" si="5"/>
        <v>0</v>
      </c>
    </row>
    <row r="19" spans="1:16" x14ac:dyDescent="0.2">
      <c r="A19" s="240">
        <v>9</v>
      </c>
      <c r="B19" s="351" t="s">
        <v>883</v>
      </c>
      <c r="C19" s="438">
        <v>187166</v>
      </c>
      <c r="D19" s="263">
        <v>25</v>
      </c>
      <c r="E19" s="441">
        <f t="shared" si="0"/>
        <v>467.91500000000002</v>
      </c>
      <c r="F19" s="441">
        <f t="shared" si="1"/>
        <v>467.91500000000002</v>
      </c>
      <c r="G19" s="241"/>
      <c r="H19" s="241"/>
      <c r="I19" s="441">
        <f t="shared" si="2"/>
        <v>93.583000000000013</v>
      </c>
      <c r="J19" s="441">
        <f t="shared" si="3"/>
        <v>46.791500000000006</v>
      </c>
      <c r="K19" s="441">
        <f t="shared" si="4"/>
        <v>46.791500000000006</v>
      </c>
      <c r="L19" s="241"/>
      <c r="M19" s="241"/>
      <c r="N19" s="241"/>
      <c r="O19" s="441">
        <v>117.5</v>
      </c>
      <c r="P19" s="441">
        <f t="shared" si="5"/>
        <v>5.4980012499999997</v>
      </c>
    </row>
    <row r="20" spans="1:16" x14ac:dyDescent="0.2">
      <c r="A20" s="240">
        <v>10</v>
      </c>
      <c r="B20" s="351" t="s">
        <v>884</v>
      </c>
      <c r="C20" s="438">
        <v>67441</v>
      </c>
      <c r="D20" s="263">
        <v>25</v>
      </c>
      <c r="E20" s="441">
        <f t="shared" si="0"/>
        <v>168.60250000000002</v>
      </c>
      <c r="F20" s="441">
        <f t="shared" si="1"/>
        <v>168.60250000000002</v>
      </c>
      <c r="G20" s="241"/>
      <c r="H20" s="241"/>
      <c r="I20" s="441">
        <f t="shared" si="2"/>
        <v>33.720500000000001</v>
      </c>
      <c r="J20" s="441">
        <f t="shared" si="3"/>
        <v>16.860250000000001</v>
      </c>
      <c r="K20" s="441">
        <f t="shared" si="4"/>
        <v>16.860250000000001</v>
      </c>
      <c r="L20" s="241"/>
      <c r="M20" s="241"/>
      <c r="N20" s="241"/>
      <c r="O20" s="441">
        <v>117.5</v>
      </c>
      <c r="P20" s="441">
        <f t="shared" si="5"/>
        <v>1.9810793750000002</v>
      </c>
    </row>
    <row r="21" spans="1:16" x14ac:dyDescent="0.2">
      <c r="A21" s="240">
        <v>11</v>
      </c>
      <c r="B21" s="351" t="s">
        <v>885</v>
      </c>
      <c r="C21" s="438">
        <v>107941</v>
      </c>
      <c r="D21" s="263">
        <v>25</v>
      </c>
      <c r="E21" s="441">
        <f t="shared" si="0"/>
        <v>269.85250000000002</v>
      </c>
      <c r="F21" s="441">
        <f t="shared" si="1"/>
        <v>269.85250000000002</v>
      </c>
      <c r="G21" s="241"/>
      <c r="H21" s="241"/>
      <c r="I21" s="441">
        <f t="shared" si="2"/>
        <v>53.970500000000001</v>
      </c>
      <c r="J21" s="441">
        <f t="shared" si="3"/>
        <v>26.985250000000001</v>
      </c>
      <c r="K21" s="441">
        <f t="shared" si="4"/>
        <v>26.985250000000001</v>
      </c>
      <c r="L21" s="241"/>
      <c r="M21" s="241"/>
      <c r="N21" s="241"/>
      <c r="O21" s="441">
        <v>117.5</v>
      </c>
      <c r="P21" s="441">
        <f t="shared" si="5"/>
        <v>3.170766875</v>
      </c>
    </row>
    <row r="22" spans="1:16" x14ac:dyDescent="0.2">
      <c r="A22" s="240">
        <v>12</v>
      </c>
      <c r="B22" s="351" t="s">
        <v>886</v>
      </c>
      <c r="C22" s="438">
        <v>0</v>
      </c>
      <c r="D22" s="263">
        <v>0</v>
      </c>
      <c r="E22" s="441">
        <f t="shared" si="0"/>
        <v>0</v>
      </c>
      <c r="F22" s="441">
        <f t="shared" si="1"/>
        <v>0</v>
      </c>
      <c r="G22" s="241"/>
      <c r="H22" s="241"/>
      <c r="I22" s="441">
        <f t="shared" si="2"/>
        <v>0</v>
      </c>
      <c r="J22" s="441">
        <f t="shared" si="3"/>
        <v>0</v>
      </c>
      <c r="K22" s="441">
        <f t="shared" si="4"/>
        <v>0</v>
      </c>
      <c r="L22" s="241"/>
      <c r="M22" s="241"/>
      <c r="N22" s="241"/>
      <c r="O22" s="441">
        <v>117.5</v>
      </c>
      <c r="P22" s="441">
        <f t="shared" si="5"/>
        <v>0</v>
      </c>
    </row>
    <row r="23" spans="1:16" x14ac:dyDescent="0.2">
      <c r="A23" s="240">
        <v>13</v>
      </c>
      <c r="B23" s="351" t="s">
        <v>887</v>
      </c>
      <c r="C23" s="438">
        <v>46469</v>
      </c>
      <c r="D23" s="263">
        <v>25</v>
      </c>
      <c r="E23" s="441">
        <f t="shared" si="0"/>
        <v>116.1725</v>
      </c>
      <c r="F23" s="441">
        <f t="shared" si="1"/>
        <v>116.1725</v>
      </c>
      <c r="G23" s="241"/>
      <c r="H23" s="241"/>
      <c r="I23" s="441">
        <f t="shared" si="2"/>
        <v>23.234500000000001</v>
      </c>
      <c r="J23" s="441">
        <f t="shared" si="3"/>
        <v>11.61725</v>
      </c>
      <c r="K23" s="441">
        <f t="shared" si="4"/>
        <v>11.61725</v>
      </c>
      <c r="L23" s="241"/>
      <c r="M23" s="241"/>
      <c r="N23" s="241"/>
      <c r="O23" s="441">
        <v>117.5</v>
      </c>
      <c r="P23" s="441">
        <f t="shared" si="5"/>
        <v>1.3650268750000001</v>
      </c>
    </row>
    <row r="24" spans="1:16" x14ac:dyDescent="0.2">
      <c r="A24" s="240">
        <v>14</v>
      </c>
      <c r="B24" s="351" t="s">
        <v>888</v>
      </c>
      <c r="C24" s="438">
        <v>50280</v>
      </c>
      <c r="D24" s="263">
        <v>25</v>
      </c>
      <c r="E24" s="441">
        <f t="shared" si="0"/>
        <v>125.7</v>
      </c>
      <c r="F24" s="441">
        <f t="shared" si="1"/>
        <v>125.7</v>
      </c>
      <c r="G24" s="241"/>
      <c r="H24" s="241"/>
      <c r="I24" s="441">
        <f t="shared" si="2"/>
        <v>25.14</v>
      </c>
      <c r="J24" s="441">
        <f t="shared" si="3"/>
        <v>12.57</v>
      </c>
      <c r="K24" s="441">
        <f t="shared" si="4"/>
        <v>12.57</v>
      </c>
      <c r="L24" s="241"/>
      <c r="M24" s="241"/>
      <c r="N24" s="241"/>
      <c r="O24" s="441">
        <v>117.5</v>
      </c>
      <c r="P24" s="441">
        <f t="shared" si="5"/>
        <v>1.4769749999999999</v>
      </c>
    </row>
    <row r="25" spans="1:16" x14ac:dyDescent="0.2">
      <c r="A25" s="240">
        <v>15</v>
      </c>
      <c r="B25" s="351" t="s">
        <v>924</v>
      </c>
      <c r="C25" s="438">
        <v>108268</v>
      </c>
      <c r="D25" s="263">
        <v>25</v>
      </c>
      <c r="E25" s="441">
        <f t="shared" si="0"/>
        <v>270.67</v>
      </c>
      <c r="F25" s="441">
        <f t="shared" si="1"/>
        <v>270.67</v>
      </c>
      <c r="G25" s="241"/>
      <c r="H25" s="241"/>
      <c r="I25" s="441">
        <f t="shared" si="2"/>
        <v>54.134000000000007</v>
      </c>
      <c r="J25" s="441">
        <f t="shared" si="3"/>
        <v>27.067000000000004</v>
      </c>
      <c r="K25" s="441">
        <f t="shared" si="4"/>
        <v>27.067000000000004</v>
      </c>
      <c r="L25" s="241"/>
      <c r="M25" s="241"/>
      <c r="N25" s="241"/>
      <c r="O25" s="441">
        <v>117.5</v>
      </c>
      <c r="P25" s="441">
        <f t="shared" si="5"/>
        <v>3.1803724999999998</v>
      </c>
    </row>
    <row r="26" spans="1:16" x14ac:dyDescent="0.2">
      <c r="A26" s="240">
        <v>16</v>
      </c>
      <c r="B26" s="351" t="s">
        <v>890</v>
      </c>
      <c r="C26" s="438">
        <v>165359</v>
      </c>
      <c r="D26" s="263">
        <v>25</v>
      </c>
      <c r="E26" s="441">
        <f t="shared" si="0"/>
        <v>413.39750000000004</v>
      </c>
      <c r="F26" s="441">
        <f t="shared" si="1"/>
        <v>413.39750000000004</v>
      </c>
      <c r="G26" s="241"/>
      <c r="H26" s="241"/>
      <c r="I26" s="441">
        <f t="shared" si="2"/>
        <v>82.679500000000004</v>
      </c>
      <c r="J26" s="441">
        <f t="shared" si="3"/>
        <v>41.339750000000002</v>
      </c>
      <c r="K26" s="441">
        <f t="shared" si="4"/>
        <v>41.339750000000002</v>
      </c>
      <c r="L26" s="241"/>
      <c r="M26" s="241"/>
      <c r="N26" s="241"/>
      <c r="O26" s="441">
        <v>117.5</v>
      </c>
      <c r="P26" s="441">
        <f t="shared" si="5"/>
        <v>4.8574206250000005</v>
      </c>
    </row>
    <row r="27" spans="1:16" x14ac:dyDescent="0.2">
      <c r="A27" s="240">
        <v>17</v>
      </c>
      <c r="B27" s="351" t="s">
        <v>891</v>
      </c>
      <c r="C27" s="438">
        <v>108106</v>
      </c>
      <c r="D27" s="263">
        <v>25</v>
      </c>
      <c r="E27" s="441">
        <f t="shared" si="0"/>
        <v>270.26499999999999</v>
      </c>
      <c r="F27" s="441">
        <f t="shared" si="1"/>
        <v>270.26499999999999</v>
      </c>
      <c r="G27" s="241"/>
      <c r="H27" s="241"/>
      <c r="I27" s="441">
        <f t="shared" si="2"/>
        <v>54.053000000000004</v>
      </c>
      <c r="J27" s="441">
        <f t="shared" si="3"/>
        <v>27.026500000000002</v>
      </c>
      <c r="K27" s="441">
        <f t="shared" si="4"/>
        <v>27.026500000000002</v>
      </c>
      <c r="L27" s="241"/>
      <c r="M27" s="241"/>
      <c r="N27" s="241"/>
      <c r="O27" s="441">
        <v>117.5</v>
      </c>
      <c r="P27" s="441">
        <f t="shared" si="5"/>
        <v>3.1756137500000001</v>
      </c>
    </row>
    <row r="28" spans="1:16" x14ac:dyDescent="0.2">
      <c r="A28" s="240">
        <v>18</v>
      </c>
      <c r="B28" s="351" t="s">
        <v>892</v>
      </c>
      <c r="C28" s="438">
        <v>93835</v>
      </c>
      <c r="D28" s="263">
        <v>25</v>
      </c>
      <c r="E28" s="441">
        <f t="shared" si="0"/>
        <v>234.58750000000001</v>
      </c>
      <c r="F28" s="441">
        <f t="shared" si="1"/>
        <v>234.58750000000001</v>
      </c>
      <c r="G28" s="241"/>
      <c r="H28" s="241"/>
      <c r="I28" s="441">
        <f t="shared" si="2"/>
        <v>46.917500000000004</v>
      </c>
      <c r="J28" s="441">
        <f t="shared" si="3"/>
        <v>23.458750000000002</v>
      </c>
      <c r="K28" s="441">
        <f t="shared" si="4"/>
        <v>23.458750000000002</v>
      </c>
      <c r="L28" s="241"/>
      <c r="M28" s="241"/>
      <c r="N28" s="241"/>
      <c r="O28" s="441">
        <v>117.5</v>
      </c>
      <c r="P28" s="441">
        <f t="shared" si="5"/>
        <v>2.7564031249999998</v>
      </c>
    </row>
    <row r="29" spans="1:16" x14ac:dyDescent="0.2">
      <c r="A29" s="240">
        <v>19</v>
      </c>
      <c r="B29" s="351" t="s">
        <v>893</v>
      </c>
      <c r="C29" s="438">
        <v>86631</v>
      </c>
      <c r="D29" s="263">
        <v>25</v>
      </c>
      <c r="E29" s="441">
        <f t="shared" si="0"/>
        <v>216.57750000000001</v>
      </c>
      <c r="F29" s="441">
        <f t="shared" si="1"/>
        <v>216.57750000000001</v>
      </c>
      <c r="G29" s="241"/>
      <c r="H29" s="241"/>
      <c r="I29" s="441">
        <f t="shared" si="2"/>
        <v>43.3155</v>
      </c>
      <c r="J29" s="441">
        <f t="shared" si="3"/>
        <v>21.65775</v>
      </c>
      <c r="K29" s="441">
        <f t="shared" si="4"/>
        <v>21.65775</v>
      </c>
      <c r="L29" s="241"/>
      <c r="M29" s="241"/>
      <c r="N29" s="241"/>
      <c r="O29" s="441">
        <v>117.5</v>
      </c>
      <c r="P29" s="441">
        <f t="shared" si="5"/>
        <v>2.5447856250000003</v>
      </c>
    </row>
    <row r="30" spans="1:16" x14ac:dyDescent="0.2">
      <c r="A30" s="240">
        <v>20</v>
      </c>
      <c r="B30" s="351" t="s">
        <v>894</v>
      </c>
      <c r="C30" s="438">
        <v>62264</v>
      </c>
      <c r="D30" s="263">
        <v>25</v>
      </c>
      <c r="E30" s="441">
        <f t="shared" si="0"/>
        <v>155.66</v>
      </c>
      <c r="F30" s="441">
        <f t="shared" si="1"/>
        <v>155.66</v>
      </c>
      <c r="G30" s="241"/>
      <c r="H30" s="241"/>
      <c r="I30" s="441">
        <f t="shared" si="2"/>
        <v>31.132000000000001</v>
      </c>
      <c r="J30" s="441">
        <f t="shared" si="3"/>
        <v>15.566000000000001</v>
      </c>
      <c r="K30" s="441">
        <f t="shared" si="4"/>
        <v>15.566000000000001</v>
      </c>
      <c r="L30" s="241"/>
      <c r="M30" s="241"/>
      <c r="N30" s="241"/>
      <c r="O30" s="441">
        <v>117.5</v>
      </c>
      <c r="P30" s="441">
        <f t="shared" si="5"/>
        <v>1.829005</v>
      </c>
    </row>
    <row r="31" spans="1:16" x14ac:dyDescent="0.2">
      <c r="A31" s="240">
        <v>21</v>
      </c>
      <c r="B31" s="351" t="s">
        <v>925</v>
      </c>
      <c r="C31" s="438">
        <v>85470</v>
      </c>
      <c r="D31" s="263">
        <v>25</v>
      </c>
      <c r="E31" s="441">
        <f t="shared" si="0"/>
        <v>213.67500000000001</v>
      </c>
      <c r="F31" s="441">
        <f t="shared" si="1"/>
        <v>213.67500000000001</v>
      </c>
      <c r="G31" s="241"/>
      <c r="H31" s="241"/>
      <c r="I31" s="441">
        <f t="shared" si="2"/>
        <v>42.735000000000007</v>
      </c>
      <c r="J31" s="441">
        <f t="shared" si="3"/>
        <v>21.367500000000003</v>
      </c>
      <c r="K31" s="441">
        <f t="shared" si="4"/>
        <v>21.367500000000003</v>
      </c>
      <c r="L31" s="241"/>
      <c r="M31" s="241"/>
      <c r="N31" s="241"/>
      <c r="O31" s="441">
        <v>117.5</v>
      </c>
      <c r="P31" s="441">
        <f t="shared" si="5"/>
        <v>2.5106812500000002</v>
      </c>
    </row>
    <row r="32" spans="1:16" x14ac:dyDescent="0.2">
      <c r="A32" s="240">
        <v>22</v>
      </c>
      <c r="B32" s="351" t="s">
        <v>896</v>
      </c>
      <c r="C32" s="438">
        <v>64609</v>
      </c>
      <c r="D32" s="263">
        <v>25</v>
      </c>
      <c r="E32" s="441">
        <f t="shared" si="0"/>
        <v>161.52250000000001</v>
      </c>
      <c r="F32" s="441">
        <f t="shared" si="1"/>
        <v>161.52250000000001</v>
      </c>
      <c r="G32" s="241"/>
      <c r="H32" s="241"/>
      <c r="I32" s="441">
        <f t="shared" si="2"/>
        <v>32.304500000000004</v>
      </c>
      <c r="J32" s="441">
        <f t="shared" si="3"/>
        <v>16.152250000000002</v>
      </c>
      <c r="K32" s="441">
        <f t="shared" si="4"/>
        <v>16.152250000000002</v>
      </c>
      <c r="L32" s="241"/>
      <c r="M32" s="241"/>
      <c r="N32" s="241"/>
      <c r="O32" s="441">
        <v>117.5</v>
      </c>
      <c r="P32" s="441">
        <f t="shared" si="5"/>
        <v>1.8978893750000001</v>
      </c>
    </row>
    <row r="33" spans="1:16" x14ac:dyDescent="0.2">
      <c r="A33" s="240">
        <v>23</v>
      </c>
      <c r="B33" s="351" t="s">
        <v>926</v>
      </c>
      <c r="C33" s="438">
        <v>109390</v>
      </c>
      <c r="D33" s="263">
        <v>25</v>
      </c>
      <c r="E33" s="441">
        <f t="shared" si="0"/>
        <v>273.47500000000002</v>
      </c>
      <c r="F33" s="441">
        <f t="shared" si="1"/>
        <v>273.47500000000002</v>
      </c>
      <c r="G33" s="241"/>
      <c r="H33" s="241"/>
      <c r="I33" s="441">
        <f t="shared" si="2"/>
        <v>54.695000000000007</v>
      </c>
      <c r="J33" s="441">
        <f t="shared" si="3"/>
        <v>27.347500000000004</v>
      </c>
      <c r="K33" s="441">
        <f t="shared" si="4"/>
        <v>27.347500000000004</v>
      </c>
      <c r="L33" s="241"/>
      <c r="M33" s="241"/>
      <c r="N33" s="241"/>
      <c r="O33" s="441">
        <v>117.5</v>
      </c>
      <c r="P33" s="441">
        <f t="shared" si="5"/>
        <v>3.21333125</v>
      </c>
    </row>
    <row r="34" spans="1:16" x14ac:dyDescent="0.2">
      <c r="A34" s="240">
        <v>24</v>
      </c>
      <c r="B34" s="351" t="s">
        <v>898</v>
      </c>
      <c r="C34" s="438">
        <v>124588</v>
      </c>
      <c r="D34" s="263">
        <v>25</v>
      </c>
      <c r="E34" s="441">
        <f t="shared" si="0"/>
        <v>311.47000000000003</v>
      </c>
      <c r="F34" s="441">
        <f t="shared" si="1"/>
        <v>311.47000000000003</v>
      </c>
      <c r="G34" s="241"/>
      <c r="H34" s="241"/>
      <c r="I34" s="441">
        <f t="shared" si="2"/>
        <v>62.294000000000004</v>
      </c>
      <c r="J34" s="441">
        <f t="shared" si="3"/>
        <v>31.147000000000002</v>
      </c>
      <c r="K34" s="441">
        <f t="shared" si="4"/>
        <v>31.147000000000002</v>
      </c>
      <c r="L34" s="241"/>
      <c r="M34" s="241"/>
      <c r="N34" s="241"/>
      <c r="O34" s="441">
        <v>117.5</v>
      </c>
      <c r="P34" s="441">
        <f t="shared" si="5"/>
        <v>3.6597725000000008</v>
      </c>
    </row>
    <row r="35" spans="1:16" s="230" customFormat="1" x14ac:dyDescent="0.2">
      <c r="A35" s="1092" t="s">
        <v>15</v>
      </c>
      <c r="B35" s="1093"/>
      <c r="C35" s="433">
        <f>SUM(C11:C34)</f>
        <v>1701348</v>
      </c>
      <c r="D35" s="440">
        <v>25</v>
      </c>
      <c r="E35" s="442">
        <f>SUM(E11:E34)</f>
        <v>4253.37</v>
      </c>
      <c r="F35" s="442">
        <f>SUM(F11:F34)</f>
        <v>4253.37</v>
      </c>
      <c r="G35" s="433"/>
      <c r="H35" s="433"/>
      <c r="I35" s="442">
        <f>SUM(I11:I34)</f>
        <v>850.67400000000009</v>
      </c>
      <c r="J35" s="442">
        <f>SUM(J11:J34)</f>
        <v>425.33700000000005</v>
      </c>
      <c r="K35" s="442">
        <f>SUM(K11:K34)</f>
        <v>425.33700000000005</v>
      </c>
      <c r="L35" s="433"/>
      <c r="M35" s="433"/>
      <c r="N35" s="433"/>
      <c r="O35" s="442">
        <v>117.5</v>
      </c>
      <c r="P35" s="442">
        <f>SUM(P11:P34)</f>
        <v>49.977097500000006</v>
      </c>
    </row>
    <row r="36" spans="1:16" x14ac:dyDescent="0.2">
      <c r="A36" s="362"/>
      <c r="B36" s="362"/>
      <c r="C36" s="362"/>
      <c r="D36" s="362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</row>
    <row r="37" spans="1:16" x14ac:dyDescent="0.2">
      <c r="A37" s="580"/>
      <c r="B37" s="581"/>
      <c r="C37" s="581"/>
      <c r="D37" s="362"/>
      <c r="E37" s="586"/>
      <c r="F37" s="579"/>
      <c r="G37" s="579"/>
      <c r="H37" s="579"/>
      <c r="I37" s="579"/>
      <c r="J37" s="586"/>
      <c r="K37" s="579"/>
      <c r="L37" s="579"/>
      <c r="M37" s="579"/>
      <c r="N37" s="579"/>
      <c r="O37" s="579"/>
      <c r="P37" s="579"/>
    </row>
    <row r="38" spans="1:16" x14ac:dyDescent="0.2">
      <c r="A38" s="583"/>
      <c r="B38" s="583"/>
      <c r="C38" s="583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</row>
    <row r="39" spans="1:16" x14ac:dyDescent="0.2">
      <c r="A39" s="692" t="s">
        <v>11</v>
      </c>
      <c r="B39" s="669"/>
      <c r="C39" s="669"/>
      <c r="D39" s="692"/>
      <c r="E39" s="691"/>
      <c r="F39" s="692"/>
      <c r="G39" s="692"/>
      <c r="H39" s="692"/>
      <c r="I39" s="692"/>
      <c r="J39" s="692"/>
      <c r="K39" s="692"/>
      <c r="L39" s="692" t="s">
        <v>1107</v>
      </c>
      <c r="M39" s="692"/>
      <c r="N39" s="692"/>
      <c r="O39" s="579"/>
      <c r="P39" s="579"/>
    </row>
    <row r="40" spans="1:16" x14ac:dyDescent="0.2">
      <c r="A40" s="669"/>
      <c r="B40" s="669"/>
      <c r="C40" s="669"/>
      <c r="D40" s="669"/>
      <c r="E40" s="692"/>
      <c r="F40" s="1086" t="s">
        <v>1108</v>
      </c>
      <c r="G40" s="1086"/>
      <c r="H40" s="1086"/>
      <c r="I40" s="1086"/>
      <c r="J40" s="1086"/>
      <c r="K40" s="1086"/>
      <c r="L40" s="1086"/>
      <c r="M40" s="1086"/>
      <c r="N40" s="1086"/>
      <c r="O40" s="567"/>
      <c r="P40" s="567"/>
    </row>
    <row r="41" spans="1:16" x14ac:dyDescent="0.2">
      <c r="A41" s="669"/>
      <c r="B41" s="669"/>
      <c r="C41" s="669"/>
      <c r="D41" s="669"/>
      <c r="E41" s="1086" t="s">
        <v>1113</v>
      </c>
      <c r="F41" s="1086"/>
      <c r="G41" s="1086"/>
      <c r="H41" s="1086"/>
      <c r="I41" s="1086"/>
      <c r="J41" s="1086"/>
      <c r="K41" s="1086"/>
      <c r="L41" s="1086"/>
      <c r="M41" s="1086"/>
      <c r="N41" s="1086"/>
      <c r="O41" s="567"/>
      <c r="P41" s="567"/>
    </row>
    <row r="42" spans="1:16" x14ac:dyDescent="0.2">
      <c r="A42" s="692"/>
      <c r="B42" s="692"/>
      <c r="C42" s="669"/>
      <c r="D42" s="669"/>
      <c r="E42" s="691"/>
      <c r="F42" s="692"/>
      <c r="G42" s="692"/>
      <c r="H42" s="692"/>
      <c r="I42" s="692"/>
      <c r="J42" s="692"/>
      <c r="K42" s="692"/>
      <c r="L42" s="692" t="s">
        <v>1115</v>
      </c>
      <c r="M42" s="692"/>
      <c r="N42" s="692"/>
      <c r="O42" s="567"/>
      <c r="P42" s="567"/>
    </row>
    <row r="44" spans="1:16" x14ac:dyDescent="0.2">
      <c r="A44" s="1081"/>
      <c r="B44" s="1081"/>
      <c r="C44" s="1081"/>
      <c r="D44" s="1081"/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</row>
  </sheetData>
  <mergeCells count="18">
    <mergeCell ref="A44:N44"/>
    <mergeCell ref="C8:C9"/>
    <mergeCell ref="H7:N7"/>
    <mergeCell ref="A8:A9"/>
    <mergeCell ref="B8:B9"/>
    <mergeCell ref="D8:D9"/>
    <mergeCell ref="E8:H8"/>
    <mergeCell ref="A35:B35"/>
    <mergeCell ref="F40:N40"/>
    <mergeCell ref="E41:N41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BreakPreview" topLeftCell="A17" zoomScaleNormal="70" zoomScaleSheetLayoutView="100" workbookViewId="0">
      <selection activeCell="A39" sqref="A39:N42"/>
    </sheetView>
  </sheetViews>
  <sheetFormatPr defaultRowHeight="12.75" x14ac:dyDescent="0.2"/>
  <cols>
    <col min="1" max="1" width="5.5703125" style="236" customWidth="1"/>
    <col min="2" max="2" width="14.140625" style="236" customWidth="1"/>
    <col min="3" max="3" width="10.28515625" style="236" customWidth="1"/>
    <col min="4" max="4" width="12.85546875" style="236" customWidth="1"/>
    <col min="5" max="6" width="9.140625" style="228" customWidth="1"/>
    <col min="7" max="7" width="8" style="228" customWidth="1"/>
    <col min="8" max="8" width="8.140625" style="228" customWidth="1"/>
    <col min="9" max="11" width="9.140625" style="228" customWidth="1"/>
    <col min="12" max="12" width="8.140625" style="228" customWidth="1"/>
    <col min="13" max="13" width="11.28515625" style="228" customWidth="1"/>
    <col min="14" max="14" width="11.85546875" style="228" customWidth="1"/>
    <col min="15" max="15" width="9.140625" style="236"/>
    <col min="16" max="16" width="13" style="236" customWidth="1"/>
    <col min="17" max="16384" width="9.140625" style="228"/>
  </cols>
  <sheetData>
    <row r="1" spans="1:18" ht="12.75" customHeight="1" x14ac:dyDescent="0.2">
      <c r="D1" s="1088"/>
      <c r="E1" s="1088"/>
      <c r="F1" s="236"/>
      <c r="G1" s="236"/>
      <c r="H1" s="236"/>
      <c r="I1" s="236"/>
      <c r="J1" s="236"/>
      <c r="K1" s="236"/>
      <c r="L1" s="236"/>
      <c r="M1" s="1090" t="s">
        <v>665</v>
      </c>
      <c r="N1" s="1090"/>
    </row>
    <row r="2" spans="1:18" ht="15.75" x14ac:dyDescent="0.25">
      <c r="A2" s="1096" t="s">
        <v>0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</row>
    <row r="3" spans="1:18" ht="18" x14ac:dyDescent="0.25">
      <c r="A3" s="1097" t="s">
        <v>694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</row>
    <row r="4" spans="1:18" ht="9.75" customHeight="1" x14ac:dyDescent="0.2">
      <c r="A4" s="1100" t="s">
        <v>705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</row>
    <row r="5" spans="1:18" s="229" customFormat="1" ht="18.75" customHeight="1" x14ac:dyDescent="0.2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283"/>
      <c r="P5" s="283"/>
    </row>
    <row r="6" spans="1:18" x14ac:dyDescent="0.2">
      <c r="A6" s="1089"/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</row>
    <row r="7" spans="1:18" x14ac:dyDescent="0.2">
      <c r="A7" s="557" t="s">
        <v>1098</v>
      </c>
      <c r="B7" s="557"/>
      <c r="D7" s="237"/>
      <c r="E7" s="236"/>
      <c r="F7" s="236"/>
      <c r="G7" s="236"/>
      <c r="H7" s="1082"/>
      <c r="I7" s="1082"/>
      <c r="J7" s="1082"/>
      <c r="K7" s="1082"/>
      <c r="L7" s="1082"/>
      <c r="M7" s="1082"/>
      <c r="N7" s="1082"/>
    </row>
    <row r="8" spans="1:18" ht="24.75" customHeight="1" x14ac:dyDescent="0.2">
      <c r="A8" s="999" t="s">
        <v>1</v>
      </c>
      <c r="B8" s="999" t="s">
        <v>2</v>
      </c>
      <c r="C8" s="1098" t="s">
        <v>481</v>
      </c>
      <c r="D8" s="1094" t="s">
        <v>80</v>
      </c>
      <c r="E8" s="1083" t="s">
        <v>81</v>
      </c>
      <c r="F8" s="1084"/>
      <c r="G8" s="1084"/>
      <c r="H8" s="1085"/>
      <c r="I8" s="999" t="s">
        <v>646</v>
      </c>
      <c r="J8" s="999"/>
      <c r="K8" s="999"/>
      <c r="L8" s="999"/>
      <c r="M8" s="999"/>
      <c r="N8" s="999"/>
      <c r="O8" s="1087" t="s">
        <v>842</v>
      </c>
      <c r="P8" s="1087"/>
    </row>
    <row r="9" spans="1:18" ht="44.45" customHeight="1" x14ac:dyDescent="0.2">
      <c r="A9" s="999"/>
      <c r="B9" s="999"/>
      <c r="C9" s="1099"/>
      <c r="D9" s="1095"/>
      <c r="E9" s="238" t="s">
        <v>85</v>
      </c>
      <c r="F9" s="238" t="s">
        <v>17</v>
      </c>
      <c r="G9" s="238" t="s">
        <v>38</v>
      </c>
      <c r="H9" s="238" t="s">
        <v>681</v>
      </c>
      <c r="I9" s="238" t="s">
        <v>15</v>
      </c>
      <c r="J9" s="238" t="s">
        <v>983</v>
      </c>
      <c r="K9" s="238" t="s">
        <v>984</v>
      </c>
      <c r="L9" s="238" t="s">
        <v>649</v>
      </c>
      <c r="M9" s="238" t="s">
        <v>650</v>
      </c>
      <c r="N9" s="238" t="s">
        <v>651</v>
      </c>
      <c r="O9" s="238" t="s">
        <v>855</v>
      </c>
      <c r="P9" s="238" t="s">
        <v>853</v>
      </c>
    </row>
    <row r="10" spans="1:18" s="290" customFormat="1" x14ac:dyDescent="0.2">
      <c r="A10" s="288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7</v>
      </c>
      <c r="H10" s="288">
        <v>8</v>
      </c>
      <c r="I10" s="288">
        <v>9</v>
      </c>
      <c r="J10" s="288">
        <v>10</v>
      </c>
      <c r="K10" s="288">
        <v>11</v>
      </c>
      <c r="L10" s="288">
        <v>12</v>
      </c>
      <c r="M10" s="288">
        <v>13</v>
      </c>
      <c r="N10" s="288">
        <v>14</v>
      </c>
      <c r="O10" s="288">
        <v>15</v>
      </c>
      <c r="P10" s="288">
        <v>16</v>
      </c>
    </row>
    <row r="11" spans="1:18" x14ac:dyDescent="0.2">
      <c r="A11" s="240">
        <v>1</v>
      </c>
      <c r="B11" s="351" t="s">
        <v>875</v>
      </c>
      <c r="C11" s="438">
        <v>63080</v>
      </c>
      <c r="D11" s="263">
        <v>25</v>
      </c>
      <c r="E11" s="441">
        <f>F11</f>
        <v>236.54999999999998</v>
      </c>
      <c r="F11" s="441">
        <f>C11*D11*0.00015</f>
        <v>236.54999999999998</v>
      </c>
      <c r="G11" s="241"/>
      <c r="H11" s="241"/>
      <c r="I11" s="441">
        <f>J11+K11</f>
        <v>47.31</v>
      </c>
      <c r="J11" s="441">
        <f>C11*D11*0.000015</f>
        <v>23.655000000000001</v>
      </c>
      <c r="K11" s="441">
        <f>J11</f>
        <v>23.655000000000001</v>
      </c>
      <c r="L11" s="241"/>
      <c r="M11" s="241"/>
      <c r="N11" s="241"/>
      <c r="O11" s="441">
        <v>117.5</v>
      </c>
      <c r="P11" s="441">
        <f>F11*1175/100000</f>
        <v>2.7794625000000002</v>
      </c>
      <c r="R11" s="228">
        <v>8672</v>
      </c>
    </row>
    <row r="12" spans="1:18" x14ac:dyDescent="0.2">
      <c r="A12" s="240">
        <v>2</v>
      </c>
      <c r="B12" s="351" t="s">
        <v>876</v>
      </c>
      <c r="C12" s="438">
        <v>17555</v>
      </c>
      <c r="D12" s="263">
        <v>25</v>
      </c>
      <c r="E12" s="441">
        <f t="shared" ref="E12:E35" si="0">F12</f>
        <v>65.831249999999997</v>
      </c>
      <c r="F12" s="441">
        <f t="shared" ref="F12:F34" si="1">C12*D12*0.00015</f>
        <v>65.831249999999997</v>
      </c>
      <c r="G12" s="241"/>
      <c r="H12" s="241"/>
      <c r="I12" s="441">
        <f t="shared" ref="I12:I34" si="2">J12+K12</f>
        <v>13.16625</v>
      </c>
      <c r="J12" s="441">
        <f t="shared" ref="J12:J34" si="3">C12*D12*0.000015</f>
        <v>6.5831249999999999</v>
      </c>
      <c r="K12" s="441">
        <f t="shared" ref="K12:K34" si="4">J12</f>
        <v>6.5831249999999999</v>
      </c>
      <c r="L12" s="241"/>
      <c r="M12" s="241"/>
      <c r="N12" s="241"/>
      <c r="O12" s="441">
        <v>117.5</v>
      </c>
      <c r="P12" s="441">
        <f t="shared" ref="P12:P34" si="5">F12*1175/100000</f>
        <v>0.77351718749999998</v>
      </c>
      <c r="R12" s="228">
        <v>4733</v>
      </c>
    </row>
    <row r="13" spans="1:18" x14ac:dyDescent="0.2">
      <c r="A13" s="240">
        <v>3</v>
      </c>
      <c r="B13" s="351" t="s">
        <v>877</v>
      </c>
      <c r="C13" s="438">
        <v>16093</v>
      </c>
      <c r="D13" s="263">
        <v>25</v>
      </c>
      <c r="E13" s="441">
        <f t="shared" si="0"/>
        <v>60.348749999999995</v>
      </c>
      <c r="F13" s="441">
        <f t="shared" si="1"/>
        <v>60.348749999999995</v>
      </c>
      <c r="G13" s="241"/>
      <c r="H13" s="241"/>
      <c r="I13" s="441">
        <f t="shared" si="2"/>
        <v>12.069750000000001</v>
      </c>
      <c r="J13" s="441">
        <f t="shared" si="3"/>
        <v>6.0348750000000004</v>
      </c>
      <c r="K13" s="441">
        <f t="shared" si="4"/>
        <v>6.0348750000000004</v>
      </c>
      <c r="L13" s="241"/>
      <c r="M13" s="241"/>
      <c r="N13" s="241"/>
      <c r="O13" s="441">
        <v>117.5</v>
      </c>
      <c r="P13" s="441">
        <f t="shared" si="5"/>
        <v>0.70909781250000004</v>
      </c>
      <c r="R13" s="228">
        <v>8398</v>
      </c>
    </row>
    <row r="14" spans="1:18" x14ac:dyDescent="0.2">
      <c r="A14" s="240">
        <v>4</v>
      </c>
      <c r="B14" s="351" t="s">
        <v>878</v>
      </c>
      <c r="C14" s="438">
        <v>0</v>
      </c>
      <c r="D14" s="263">
        <v>0</v>
      </c>
      <c r="E14" s="441">
        <f t="shared" si="0"/>
        <v>0</v>
      </c>
      <c r="F14" s="441">
        <f t="shared" si="1"/>
        <v>0</v>
      </c>
      <c r="G14" s="241"/>
      <c r="H14" s="241"/>
      <c r="I14" s="441">
        <f t="shared" si="2"/>
        <v>0</v>
      </c>
      <c r="J14" s="441">
        <f t="shared" si="3"/>
        <v>0</v>
      </c>
      <c r="K14" s="441">
        <f t="shared" si="4"/>
        <v>0</v>
      </c>
      <c r="L14" s="241"/>
      <c r="M14" s="241"/>
      <c r="N14" s="241"/>
      <c r="O14" s="441">
        <v>117.5</v>
      </c>
      <c r="P14" s="441">
        <f t="shared" si="5"/>
        <v>0</v>
      </c>
      <c r="R14" s="228">
        <v>0</v>
      </c>
    </row>
    <row r="15" spans="1:18" x14ac:dyDescent="0.2">
      <c r="A15" s="240">
        <v>5</v>
      </c>
      <c r="B15" s="351" t="s">
        <v>879</v>
      </c>
      <c r="C15" s="438">
        <v>0</v>
      </c>
      <c r="D15" s="263">
        <v>0</v>
      </c>
      <c r="E15" s="441">
        <f t="shared" si="0"/>
        <v>0</v>
      </c>
      <c r="F15" s="441">
        <f t="shared" si="1"/>
        <v>0</v>
      </c>
      <c r="G15" s="241"/>
      <c r="H15" s="241"/>
      <c r="I15" s="441">
        <f t="shared" si="2"/>
        <v>0</v>
      </c>
      <c r="J15" s="441">
        <f t="shared" si="3"/>
        <v>0</v>
      </c>
      <c r="K15" s="441">
        <f t="shared" si="4"/>
        <v>0</v>
      </c>
      <c r="L15" s="241"/>
      <c r="M15" s="241"/>
      <c r="N15" s="241"/>
      <c r="O15" s="441">
        <v>117.5</v>
      </c>
      <c r="P15" s="441">
        <f t="shared" si="5"/>
        <v>0</v>
      </c>
      <c r="R15" s="228">
        <v>0</v>
      </c>
    </row>
    <row r="16" spans="1:18" ht="15" customHeight="1" x14ac:dyDescent="0.2">
      <c r="A16" s="240">
        <v>6</v>
      </c>
      <c r="B16" s="351" t="s">
        <v>880</v>
      </c>
      <c r="C16" s="438">
        <v>0</v>
      </c>
      <c r="D16" s="263">
        <v>0</v>
      </c>
      <c r="E16" s="441">
        <f t="shared" si="0"/>
        <v>0</v>
      </c>
      <c r="F16" s="441">
        <f t="shared" si="1"/>
        <v>0</v>
      </c>
      <c r="G16" s="241"/>
      <c r="H16" s="241"/>
      <c r="I16" s="441">
        <f t="shared" si="2"/>
        <v>0</v>
      </c>
      <c r="J16" s="441">
        <f t="shared" si="3"/>
        <v>0</v>
      </c>
      <c r="K16" s="441">
        <f t="shared" si="4"/>
        <v>0</v>
      </c>
      <c r="L16" s="241"/>
      <c r="M16" s="241"/>
      <c r="N16" s="241"/>
      <c r="O16" s="441">
        <v>117.5</v>
      </c>
      <c r="P16" s="441">
        <f t="shared" si="5"/>
        <v>0</v>
      </c>
      <c r="R16" s="228">
        <v>0</v>
      </c>
    </row>
    <row r="17" spans="1:18" x14ac:dyDescent="0.2">
      <c r="A17" s="240">
        <v>7</v>
      </c>
      <c r="B17" s="351" t="s">
        <v>923</v>
      </c>
      <c r="C17" s="438">
        <v>0</v>
      </c>
      <c r="D17" s="263">
        <v>0</v>
      </c>
      <c r="E17" s="441">
        <f t="shared" si="0"/>
        <v>0</v>
      </c>
      <c r="F17" s="441">
        <f t="shared" si="1"/>
        <v>0</v>
      </c>
      <c r="G17" s="241"/>
      <c r="H17" s="241"/>
      <c r="I17" s="441">
        <f t="shared" si="2"/>
        <v>0</v>
      </c>
      <c r="J17" s="441">
        <f t="shared" si="3"/>
        <v>0</v>
      </c>
      <c r="K17" s="441">
        <f t="shared" si="4"/>
        <v>0</v>
      </c>
      <c r="L17" s="241"/>
      <c r="M17" s="241"/>
      <c r="N17" s="241"/>
      <c r="O17" s="441">
        <v>117.5</v>
      </c>
      <c r="P17" s="441">
        <f t="shared" si="5"/>
        <v>0</v>
      </c>
      <c r="R17" s="228">
        <v>0</v>
      </c>
    </row>
    <row r="18" spans="1:18" x14ac:dyDescent="0.2">
      <c r="A18" s="240">
        <v>8</v>
      </c>
      <c r="B18" s="351" t="s">
        <v>882</v>
      </c>
      <c r="C18" s="438">
        <v>0</v>
      </c>
      <c r="D18" s="263">
        <v>0</v>
      </c>
      <c r="E18" s="441">
        <f t="shared" si="0"/>
        <v>0</v>
      </c>
      <c r="F18" s="441">
        <f t="shared" si="1"/>
        <v>0</v>
      </c>
      <c r="G18" s="241"/>
      <c r="H18" s="241"/>
      <c r="I18" s="441">
        <f t="shared" si="2"/>
        <v>0</v>
      </c>
      <c r="J18" s="441">
        <f t="shared" si="3"/>
        <v>0</v>
      </c>
      <c r="K18" s="441">
        <f t="shared" si="4"/>
        <v>0</v>
      </c>
      <c r="L18" s="241"/>
      <c r="M18" s="241"/>
      <c r="N18" s="241"/>
      <c r="O18" s="441">
        <v>117.5</v>
      </c>
      <c r="P18" s="441">
        <f t="shared" si="5"/>
        <v>0</v>
      </c>
      <c r="R18" s="228">
        <v>0</v>
      </c>
    </row>
    <row r="19" spans="1:18" x14ac:dyDescent="0.2">
      <c r="A19" s="240">
        <v>9</v>
      </c>
      <c r="B19" s="351" t="s">
        <v>883</v>
      </c>
      <c r="C19" s="438">
        <v>85229</v>
      </c>
      <c r="D19" s="263">
        <v>25</v>
      </c>
      <c r="E19" s="441">
        <f t="shared" si="0"/>
        <v>319.60874999999999</v>
      </c>
      <c r="F19" s="441">
        <f t="shared" si="1"/>
        <v>319.60874999999999</v>
      </c>
      <c r="G19" s="241"/>
      <c r="H19" s="241"/>
      <c r="I19" s="441">
        <f t="shared" si="2"/>
        <v>63.921750000000003</v>
      </c>
      <c r="J19" s="441">
        <f t="shared" si="3"/>
        <v>31.960875000000001</v>
      </c>
      <c r="K19" s="441">
        <f t="shared" si="4"/>
        <v>31.960875000000001</v>
      </c>
      <c r="L19" s="241"/>
      <c r="M19" s="241"/>
      <c r="N19" s="241"/>
      <c r="O19" s="441">
        <v>117.5</v>
      </c>
      <c r="P19" s="441">
        <f t="shared" si="5"/>
        <v>3.7554028124999999</v>
      </c>
      <c r="R19" s="228">
        <v>75132</v>
      </c>
    </row>
    <row r="20" spans="1:18" x14ac:dyDescent="0.2">
      <c r="A20" s="240">
        <v>10</v>
      </c>
      <c r="B20" s="351" t="s">
        <v>884</v>
      </c>
      <c r="C20" s="438">
        <v>27130</v>
      </c>
      <c r="D20" s="263">
        <v>25</v>
      </c>
      <c r="E20" s="441">
        <f t="shared" si="0"/>
        <v>101.7375</v>
      </c>
      <c r="F20" s="441">
        <f t="shared" si="1"/>
        <v>101.7375</v>
      </c>
      <c r="G20" s="241"/>
      <c r="H20" s="241"/>
      <c r="I20" s="441">
        <f t="shared" si="2"/>
        <v>20.3475</v>
      </c>
      <c r="J20" s="441">
        <f t="shared" si="3"/>
        <v>10.17375</v>
      </c>
      <c r="K20" s="441">
        <f t="shared" si="4"/>
        <v>10.17375</v>
      </c>
      <c r="L20" s="241"/>
      <c r="M20" s="241"/>
      <c r="N20" s="241"/>
      <c r="O20" s="441">
        <v>117.5</v>
      </c>
      <c r="P20" s="441">
        <f t="shared" si="5"/>
        <v>1.1954156250000001</v>
      </c>
      <c r="R20" s="228">
        <v>803</v>
      </c>
    </row>
    <row r="21" spans="1:18" x14ac:dyDescent="0.2">
      <c r="A21" s="240">
        <v>11</v>
      </c>
      <c r="B21" s="351" t="s">
        <v>885</v>
      </c>
      <c r="C21" s="438">
        <v>45281</v>
      </c>
      <c r="D21" s="263">
        <v>25</v>
      </c>
      <c r="E21" s="441">
        <f t="shared" si="0"/>
        <v>169.80374999999998</v>
      </c>
      <c r="F21" s="441">
        <f t="shared" si="1"/>
        <v>169.80374999999998</v>
      </c>
      <c r="G21" s="241"/>
      <c r="H21" s="241"/>
      <c r="I21" s="441">
        <f t="shared" si="2"/>
        <v>33.960749999999997</v>
      </c>
      <c r="J21" s="441">
        <f t="shared" si="3"/>
        <v>16.980374999999999</v>
      </c>
      <c r="K21" s="441">
        <f t="shared" si="4"/>
        <v>16.980374999999999</v>
      </c>
      <c r="L21" s="241"/>
      <c r="M21" s="241"/>
      <c r="N21" s="241"/>
      <c r="O21" s="441">
        <v>117.5</v>
      </c>
      <c r="P21" s="441">
        <f t="shared" si="5"/>
        <v>1.9951940624999998</v>
      </c>
      <c r="R21" s="228">
        <v>35474</v>
      </c>
    </row>
    <row r="22" spans="1:18" x14ac:dyDescent="0.2">
      <c r="A22" s="240">
        <v>12</v>
      </c>
      <c r="B22" s="351" t="s">
        <v>886</v>
      </c>
      <c r="C22" s="438">
        <v>0</v>
      </c>
      <c r="D22" s="263">
        <v>0</v>
      </c>
      <c r="E22" s="441">
        <f t="shared" si="0"/>
        <v>0</v>
      </c>
      <c r="F22" s="441">
        <f t="shared" si="1"/>
        <v>0</v>
      </c>
      <c r="G22" s="241"/>
      <c r="H22" s="241"/>
      <c r="I22" s="441">
        <f t="shared" si="2"/>
        <v>0</v>
      </c>
      <c r="J22" s="441">
        <f t="shared" si="3"/>
        <v>0</v>
      </c>
      <c r="K22" s="441">
        <f t="shared" si="4"/>
        <v>0</v>
      </c>
      <c r="L22" s="241"/>
      <c r="M22" s="241"/>
      <c r="N22" s="241"/>
      <c r="O22" s="441">
        <v>117.5</v>
      </c>
      <c r="P22" s="441">
        <f t="shared" si="5"/>
        <v>0</v>
      </c>
      <c r="R22" s="228">
        <v>0</v>
      </c>
    </row>
    <row r="23" spans="1:18" x14ac:dyDescent="0.2">
      <c r="A23" s="240">
        <v>13</v>
      </c>
      <c r="B23" s="351" t="s">
        <v>887</v>
      </c>
      <c r="C23" s="438">
        <v>24469</v>
      </c>
      <c r="D23" s="263">
        <v>25</v>
      </c>
      <c r="E23" s="441">
        <f t="shared" si="0"/>
        <v>91.758749999999992</v>
      </c>
      <c r="F23" s="441">
        <f t="shared" si="1"/>
        <v>91.758749999999992</v>
      </c>
      <c r="G23" s="241"/>
      <c r="H23" s="241"/>
      <c r="I23" s="441">
        <f t="shared" si="2"/>
        <v>18.351749999999999</v>
      </c>
      <c r="J23" s="441">
        <f t="shared" si="3"/>
        <v>9.1758749999999996</v>
      </c>
      <c r="K23" s="441">
        <f t="shared" si="4"/>
        <v>9.1758749999999996</v>
      </c>
      <c r="L23" s="241"/>
      <c r="M23" s="241"/>
      <c r="N23" s="241"/>
      <c r="O23" s="441">
        <v>117.5</v>
      </c>
      <c r="P23" s="441">
        <f t="shared" si="5"/>
        <v>1.0781653124999999</v>
      </c>
      <c r="R23" s="228">
        <v>5315</v>
      </c>
    </row>
    <row r="24" spans="1:18" x14ac:dyDescent="0.2">
      <c r="A24" s="240">
        <v>14</v>
      </c>
      <c r="B24" s="351" t="s">
        <v>888</v>
      </c>
      <c r="C24" s="438">
        <v>24472</v>
      </c>
      <c r="D24" s="263">
        <v>25</v>
      </c>
      <c r="E24" s="441">
        <f t="shared" si="0"/>
        <v>91.77</v>
      </c>
      <c r="F24" s="441">
        <f t="shared" si="1"/>
        <v>91.77</v>
      </c>
      <c r="G24" s="241"/>
      <c r="H24" s="241"/>
      <c r="I24" s="441">
        <f t="shared" si="2"/>
        <v>18.353999999999999</v>
      </c>
      <c r="J24" s="441">
        <f t="shared" si="3"/>
        <v>9.1769999999999996</v>
      </c>
      <c r="K24" s="441">
        <f t="shared" si="4"/>
        <v>9.1769999999999996</v>
      </c>
      <c r="L24" s="241"/>
      <c r="M24" s="241"/>
      <c r="N24" s="241"/>
      <c r="O24" s="441">
        <v>117.5</v>
      </c>
      <c r="P24" s="441">
        <f t="shared" si="5"/>
        <v>1.0782974999999999</v>
      </c>
      <c r="R24" s="228">
        <v>21432</v>
      </c>
    </row>
    <row r="25" spans="1:18" x14ac:dyDescent="0.2">
      <c r="A25" s="240">
        <v>15</v>
      </c>
      <c r="B25" s="351" t="s">
        <v>924</v>
      </c>
      <c r="C25" s="438">
        <v>54562</v>
      </c>
      <c r="D25" s="263">
        <v>25</v>
      </c>
      <c r="E25" s="441">
        <f t="shared" si="0"/>
        <v>204.60749999999999</v>
      </c>
      <c r="F25" s="441">
        <f t="shared" si="1"/>
        <v>204.60749999999999</v>
      </c>
      <c r="G25" s="241"/>
      <c r="H25" s="241"/>
      <c r="I25" s="441">
        <f t="shared" si="2"/>
        <v>40.921500000000002</v>
      </c>
      <c r="J25" s="441">
        <f t="shared" si="3"/>
        <v>20.460750000000001</v>
      </c>
      <c r="K25" s="441">
        <f t="shared" si="4"/>
        <v>20.460750000000001</v>
      </c>
      <c r="L25" s="241"/>
      <c r="M25" s="241"/>
      <c r="N25" s="241"/>
      <c r="O25" s="441">
        <v>117.5</v>
      </c>
      <c r="P25" s="441">
        <f t="shared" si="5"/>
        <v>2.4041381249999998</v>
      </c>
      <c r="R25" s="228">
        <v>36416</v>
      </c>
    </row>
    <row r="26" spans="1:18" x14ac:dyDescent="0.2">
      <c r="A26" s="240">
        <v>16</v>
      </c>
      <c r="B26" s="351" t="s">
        <v>890</v>
      </c>
      <c r="C26" s="438">
        <v>62256</v>
      </c>
      <c r="D26" s="263">
        <v>25</v>
      </c>
      <c r="E26" s="441">
        <f t="shared" si="0"/>
        <v>233.45999999999998</v>
      </c>
      <c r="F26" s="441">
        <f t="shared" si="1"/>
        <v>233.45999999999998</v>
      </c>
      <c r="G26" s="241"/>
      <c r="H26" s="241"/>
      <c r="I26" s="441">
        <f t="shared" si="2"/>
        <v>46.692</v>
      </c>
      <c r="J26" s="441">
        <f t="shared" si="3"/>
        <v>23.346</v>
      </c>
      <c r="K26" s="441">
        <f t="shared" si="4"/>
        <v>23.346</v>
      </c>
      <c r="L26" s="241"/>
      <c r="M26" s="241"/>
      <c r="N26" s="241"/>
      <c r="O26" s="441">
        <v>117.5</v>
      </c>
      <c r="P26" s="441">
        <f t="shared" si="5"/>
        <v>2.7431549999999998</v>
      </c>
      <c r="R26" s="228">
        <v>26196</v>
      </c>
    </row>
    <row r="27" spans="1:18" x14ac:dyDescent="0.2">
      <c r="A27" s="240">
        <v>17</v>
      </c>
      <c r="B27" s="351" t="s">
        <v>891</v>
      </c>
      <c r="C27" s="438">
        <v>57075</v>
      </c>
      <c r="D27" s="263">
        <v>25</v>
      </c>
      <c r="E27" s="441">
        <f t="shared" si="0"/>
        <v>214.03124999999997</v>
      </c>
      <c r="F27" s="441">
        <f t="shared" si="1"/>
        <v>214.03124999999997</v>
      </c>
      <c r="G27" s="241"/>
      <c r="H27" s="241"/>
      <c r="I27" s="441">
        <f t="shared" si="2"/>
        <v>42.806249999999999</v>
      </c>
      <c r="J27" s="441">
        <f t="shared" si="3"/>
        <v>21.403124999999999</v>
      </c>
      <c r="K27" s="441">
        <f t="shared" si="4"/>
        <v>21.403124999999999</v>
      </c>
      <c r="L27" s="241"/>
      <c r="M27" s="241"/>
      <c r="N27" s="241"/>
      <c r="O27" s="441">
        <v>117.5</v>
      </c>
      <c r="P27" s="441">
        <f t="shared" si="5"/>
        <v>2.5148671874999997</v>
      </c>
      <c r="R27" s="228">
        <v>3932</v>
      </c>
    </row>
    <row r="28" spans="1:18" x14ac:dyDescent="0.2">
      <c r="A28" s="240">
        <v>18</v>
      </c>
      <c r="B28" s="351" t="s">
        <v>892</v>
      </c>
      <c r="C28" s="438">
        <v>47864</v>
      </c>
      <c r="D28" s="263">
        <v>25</v>
      </c>
      <c r="E28" s="441">
        <f t="shared" si="0"/>
        <v>179.48999999999998</v>
      </c>
      <c r="F28" s="441">
        <f t="shared" si="1"/>
        <v>179.48999999999998</v>
      </c>
      <c r="G28" s="241"/>
      <c r="H28" s="241"/>
      <c r="I28" s="441">
        <f t="shared" si="2"/>
        <v>35.898000000000003</v>
      </c>
      <c r="J28" s="441">
        <f t="shared" si="3"/>
        <v>17.949000000000002</v>
      </c>
      <c r="K28" s="441">
        <f t="shared" si="4"/>
        <v>17.949000000000002</v>
      </c>
      <c r="L28" s="241"/>
      <c r="M28" s="241"/>
      <c r="N28" s="241"/>
      <c r="O28" s="441">
        <v>117.5</v>
      </c>
      <c r="P28" s="441">
        <f t="shared" si="5"/>
        <v>2.1090074999999997</v>
      </c>
      <c r="R28" s="228">
        <v>44131</v>
      </c>
    </row>
    <row r="29" spans="1:18" x14ac:dyDescent="0.2">
      <c r="A29" s="240">
        <v>19</v>
      </c>
      <c r="B29" s="351" t="s">
        <v>893</v>
      </c>
      <c r="C29" s="438">
        <v>35779</v>
      </c>
      <c r="D29" s="263">
        <v>25</v>
      </c>
      <c r="E29" s="441">
        <f t="shared" si="0"/>
        <v>134.17124999999999</v>
      </c>
      <c r="F29" s="441">
        <f t="shared" si="1"/>
        <v>134.17124999999999</v>
      </c>
      <c r="G29" s="241"/>
      <c r="H29" s="241"/>
      <c r="I29" s="441">
        <f t="shared" si="2"/>
        <v>26.834250000000001</v>
      </c>
      <c r="J29" s="441">
        <f t="shared" si="3"/>
        <v>13.417125</v>
      </c>
      <c r="K29" s="441">
        <f t="shared" si="4"/>
        <v>13.417125</v>
      </c>
      <c r="L29" s="241"/>
      <c r="M29" s="241"/>
      <c r="N29" s="241"/>
      <c r="O29" s="441">
        <v>117.5</v>
      </c>
      <c r="P29" s="441">
        <f t="shared" si="5"/>
        <v>1.5765121874999997</v>
      </c>
      <c r="R29" s="228">
        <v>57248</v>
      </c>
    </row>
    <row r="30" spans="1:18" x14ac:dyDescent="0.2">
      <c r="A30" s="240">
        <v>20</v>
      </c>
      <c r="B30" s="351" t="s">
        <v>894</v>
      </c>
      <c r="C30" s="438">
        <v>24890</v>
      </c>
      <c r="D30" s="263">
        <v>25</v>
      </c>
      <c r="E30" s="441">
        <f t="shared" si="0"/>
        <v>93.337499999999991</v>
      </c>
      <c r="F30" s="441">
        <f t="shared" si="1"/>
        <v>93.337499999999991</v>
      </c>
      <c r="G30" s="241"/>
      <c r="H30" s="241"/>
      <c r="I30" s="441">
        <f t="shared" si="2"/>
        <v>18.6675</v>
      </c>
      <c r="J30" s="441">
        <f t="shared" si="3"/>
        <v>9.3337500000000002</v>
      </c>
      <c r="K30" s="441">
        <f t="shared" si="4"/>
        <v>9.3337500000000002</v>
      </c>
      <c r="L30" s="241"/>
      <c r="M30" s="241"/>
      <c r="N30" s="241"/>
      <c r="O30" s="441">
        <v>117.5</v>
      </c>
      <c r="P30" s="441">
        <f t="shared" si="5"/>
        <v>1.0967156249999999</v>
      </c>
      <c r="R30" s="228">
        <v>21774</v>
      </c>
    </row>
    <row r="31" spans="1:18" x14ac:dyDescent="0.2">
      <c r="A31" s="240">
        <v>21</v>
      </c>
      <c r="B31" s="351" t="s">
        <v>925</v>
      </c>
      <c r="C31" s="438">
        <v>31956</v>
      </c>
      <c r="D31" s="263">
        <v>25</v>
      </c>
      <c r="E31" s="441">
        <f t="shared" si="0"/>
        <v>119.83499999999999</v>
      </c>
      <c r="F31" s="441">
        <f t="shared" si="1"/>
        <v>119.83499999999999</v>
      </c>
      <c r="G31" s="241"/>
      <c r="H31" s="241"/>
      <c r="I31" s="441">
        <f t="shared" si="2"/>
        <v>23.967000000000002</v>
      </c>
      <c r="J31" s="441">
        <f t="shared" si="3"/>
        <v>11.983500000000001</v>
      </c>
      <c r="K31" s="441">
        <f t="shared" si="4"/>
        <v>11.983500000000001</v>
      </c>
      <c r="L31" s="241"/>
      <c r="M31" s="241"/>
      <c r="N31" s="241"/>
      <c r="O31" s="441">
        <v>117.5</v>
      </c>
      <c r="P31" s="441">
        <f t="shared" si="5"/>
        <v>1.40806125</v>
      </c>
      <c r="R31" s="228">
        <v>51155</v>
      </c>
    </row>
    <row r="32" spans="1:18" x14ac:dyDescent="0.2">
      <c r="A32" s="240">
        <v>22</v>
      </c>
      <c r="B32" s="351" t="s">
        <v>896</v>
      </c>
      <c r="C32" s="438">
        <v>17528</v>
      </c>
      <c r="D32" s="263">
        <v>25</v>
      </c>
      <c r="E32" s="441">
        <f t="shared" si="0"/>
        <v>65.72999999999999</v>
      </c>
      <c r="F32" s="441">
        <f t="shared" si="1"/>
        <v>65.72999999999999</v>
      </c>
      <c r="G32" s="241"/>
      <c r="H32" s="241"/>
      <c r="I32" s="441">
        <f t="shared" si="2"/>
        <v>13.146000000000001</v>
      </c>
      <c r="J32" s="441">
        <f t="shared" si="3"/>
        <v>6.5730000000000004</v>
      </c>
      <c r="K32" s="441">
        <f t="shared" si="4"/>
        <v>6.5730000000000004</v>
      </c>
      <c r="L32" s="241"/>
      <c r="M32" s="241"/>
      <c r="N32" s="241"/>
      <c r="O32" s="441">
        <v>117.5</v>
      </c>
      <c r="P32" s="441">
        <f t="shared" si="5"/>
        <v>0.77232749999999983</v>
      </c>
      <c r="R32" s="228">
        <v>209150</v>
      </c>
    </row>
    <row r="33" spans="1:18" x14ac:dyDescent="0.2">
      <c r="A33" s="240">
        <v>23</v>
      </c>
      <c r="B33" s="351" t="s">
        <v>926</v>
      </c>
      <c r="C33" s="438">
        <v>39321</v>
      </c>
      <c r="D33" s="263">
        <v>25</v>
      </c>
      <c r="E33" s="441">
        <f t="shared" si="0"/>
        <v>147.45374999999999</v>
      </c>
      <c r="F33" s="441">
        <f t="shared" si="1"/>
        <v>147.45374999999999</v>
      </c>
      <c r="G33" s="241"/>
      <c r="H33" s="241"/>
      <c r="I33" s="441">
        <f t="shared" si="2"/>
        <v>29.490750000000002</v>
      </c>
      <c r="J33" s="441">
        <f t="shared" si="3"/>
        <v>14.745375000000001</v>
      </c>
      <c r="K33" s="441">
        <f t="shared" si="4"/>
        <v>14.745375000000001</v>
      </c>
      <c r="L33" s="241"/>
      <c r="M33" s="241"/>
      <c r="N33" s="241"/>
      <c r="O33" s="441">
        <v>117.5</v>
      </c>
      <c r="P33" s="441">
        <f t="shared" si="5"/>
        <v>1.7325815624999996</v>
      </c>
      <c r="R33" s="228">
        <v>34237</v>
      </c>
    </row>
    <row r="34" spans="1:18" x14ac:dyDescent="0.2">
      <c r="A34" s="240">
        <v>24</v>
      </c>
      <c r="B34" s="351" t="s">
        <v>898</v>
      </c>
      <c r="C34" s="438">
        <v>69714</v>
      </c>
      <c r="D34" s="263">
        <v>25</v>
      </c>
      <c r="E34" s="441">
        <f t="shared" si="0"/>
        <v>261.42749999999995</v>
      </c>
      <c r="F34" s="441">
        <f t="shared" si="1"/>
        <v>261.42749999999995</v>
      </c>
      <c r="G34" s="241"/>
      <c r="H34" s="241"/>
      <c r="I34" s="441">
        <f t="shared" si="2"/>
        <v>52.285499999999999</v>
      </c>
      <c r="J34" s="441">
        <f t="shared" si="3"/>
        <v>26.142749999999999</v>
      </c>
      <c r="K34" s="441">
        <f t="shared" si="4"/>
        <v>26.142749999999999</v>
      </c>
      <c r="L34" s="241"/>
      <c r="M34" s="241"/>
      <c r="N34" s="241"/>
      <c r="O34" s="441">
        <v>117.5</v>
      </c>
      <c r="P34" s="441">
        <f t="shared" si="5"/>
        <v>3.0717731249999995</v>
      </c>
      <c r="R34" s="228">
        <v>62121</v>
      </c>
    </row>
    <row r="35" spans="1:18" s="230" customFormat="1" x14ac:dyDescent="0.2">
      <c r="A35" s="1092" t="s">
        <v>15</v>
      </c>
      <c r="B35" s="1093"/>
      <c r="C35" s="439">
        <f>SUM(C11:C34)</f>
        <v>744254</v>
      </c>
      <c r="D35" s="440">
        <v>25</v>
      </c>
      <c r="E35" s="442">
        <f t="shared" si="0"/>
        <v>2790.9524999999999</v>
      </c>
      <c r="F35" s="442">
        <f>SUM(F11:F34)</f>
        <v>2790.9524999999999</v>
      </c>
      <c r="G35" s="433"/>
      <c r="H35" s="433"/>
      <c r="I35" s="442">
        <f>SUM(I11:I34)</f>
        <v>558.19050000000004</v>
      </c>
      <c r="J35" s="442">
        <f>SUM(J11:J34)</f>
        <v>279.09525000000002</v>
      </c>
      <c r="K35" s="442">
        <f>SUM(K11:K34)</f>
        <v>279.09525000000002</v>
      </c>
      <c r="L35" s="433"/>
      <c r="M35" s="433"/>
      <c r="N35" s="433"/>
      <c r="O35" s="442">
        <v>117.5</v>
      </c>
      <c r="P35" s="442">
        <f>SUM(P11:P34)</f>
        <v>32.793691874999993</v>
      </c>
    </row>
    <row r="36" spans="1:18" x14ac:dyDescent="0.2">
      <c r="A36" s="362"/>
      <c r="B36" s="362"/>
      <c r="C36" s="362"/>
      <c r="D36" s="362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</row>
    <row r="37" spans="1:18" x14ac:dyDescent="0.2">
      <c r="A37" s="580"/>
      <c r="B37" s="581"/>
      <c r="C37" s="581"/>
      <c r="D37" s="362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</row>
    <row r="38" spans="1:18" x14ac:dyDescent="0.2">
      <c r="A38" s="583"/>
      <c r="B38" s="583"/>
      <c r="C38" s="583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</row>
    <row r="39" spans="1:18" x14ac:dyDescent="0.2">
      <c r="A39" s="694" t="s">
        <v>11</v>
      </c>
      <c r="B39" s="669"/>
      <c r="C39" s="669"/>
      <c r="D39" s="694"/>
      <c r="E39" s="693"/>
      <c r="F39" s="694"/>
      <c r="G39" s="694"/>
      <c r="H39" s="694"/>
      <c r="I39" s="694"/>
      <c r="J39" s="694"/>
      <c r="K39" s="694"/>
      <c r="L39" s="694" t="s">
        <v>1107</v>
      </c>
      <c r="M39" s="694"/>
      <c r="N39" s="694"/>
      <c r="O39" s="579"/>
      <c r="P39" s="579"/>
    </row>
    <row r="40" spans="1:18" x14ac:dyDescent="0.2">
      <c r="A40" s="669"/>
      <c r="B40" s="669"/>
      <c r="C40" s="669"/>
      <c r="D40" s="669"/>
      <c r="E40" s="694"/>
      <c r="F40" s="1086" t="s">
        <v>1108</v>
      </c>
      <c r="G40" s="1086"/>
      <c r="H40" s="1086"/>
      <c r="I40" s="1086"/>
      <c r="J40" s="1086"/>
      <c r="K40" s="1086"/>
      <c r="L40" s="1086"/>
      <c r="M40" s="1086"/>
      <c r="N40" s="1086"/>
      <c r="O40" s="567"/>
      <c r="P40" s="567"/>
    </row>
    <row r="41" spans="1:18" x14ac:dyDescent="0.2">
      <c r="A41" s="669"/>
      <c r="B41" s="669"/>
      <c r="C41" s="669"/>
      <c r="D41" s="669"/>
      <c r="E41" s="1086" t="s">
        <v>1113</v>
      </c>
      <c r="F41" s="1086"/>
      <c r="G41" s="1086"/>
      <c r="H41" s="1086"/>
      <c r="I41" s="1086"/>
      <c r="J41" s="1086"/>
      <c r="K41" s="1086"/>
      <c r="L41" s="1086"/>
      <c r="M41" s="1086"/>
      <c r="N41" s="1086"/>
      <c r="O41" s="567"/>
      <c r="P41" s="567"/>
    </row>
    <row r="42" spans="1:18" x14ac:dyDescent="0.2">
      <c r="A42" s="694"/>
      <c r="B42" s="694"/>
      <c r="C42" s="669"/>
      <c r="D42" s="669"/>
      <c r="E42" s="693"/>
      <c r="F42" s="694"/>
      <c r="G42" s="694"/>
      <c r="H42" s="694"/>
      <c r="I42" s="694"/>
      <c r="J42" s="694"/>
      <c r="K42" s="694"/>
      <c r="L42" s="694" t="s">
        <v>1115</v>
      </c>
      <c r="M42" s="694"/>
      <c r="N42" s="694"/>
      <c r="O42" s="567"/>
      <c r="P42" s="567"/>
    </row>
    <row r="44" spans="1:18" x14ac:dyDescent="0.2">
      <c r="A44" s="1081"/>
      <c r="B44" s="1081"/>
      <c r="C44" s="1081"/>
      <c r="D44" s="1081"/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</row>
  </sheetData>
  <mergeCells count="18">
    <mergeCell ref="A44:N44"/>
    <mergeCell ref="H7:N7"/>
    <mergeCell ref="A8:A9"/>
    <mergeCell ref="B8:B9"/>
    <mergeCell ref="C8:C9"/>
    <mergeCell ref="D8:D9"/>
    <mergeCell ref="E8:H8"/>
    <mergeCell ref="A35:B35"/>
    <mergeCell ref="F40:N40"/>
    <mergeCell ref="E41:N41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1"/>
  <sheetViews>
    <sheetView view="pageBreakPreview" topLeftCell="A16" zoomScale="70" zoomScaleNormal="55" zoomScaleSheetLayoutView="70" workbookViewId="0">
      <selection activeCell="K43" sqref="K43"/>
    </sheetView>
  </sheetViews>
  <sheetFormatPr defaultRowHeight="15" x14ac:dyDescent="0.25"/>
  <cols>
    <col min="1" max="1" width="7.140625" style="68" customWidth="1"/>
    <col min="2" max="2" width="16.140625" style="68" customWidth="1"/>
    <col min="3" max="4" width="8.5703125" style="68" customWidth="1"/>
    <col min="5" max="5" width="8.7109375" style="68" customWidth="1"/>
    <col min="6" max="6" width="9.28515625" style="68" customWidth="1"/>
    <col min="7" max="7" width="9.7109375" style="68" customWidth="1"/>
    <col min="8" max="8" width="10.28515625" style="68" customWidth="1"/>
    <col min="9" max="9" width="9.7109375" style="68" customWidth="1"/>
    <col min="10" max="10" width="9.28515625" style="68" customWidth="1"/>
    <col min="11" max="14" width="9.5703125" style="68" customWidth="1"/>
    <col min="15" max="15" width="11.42578125" style="68" customWidth="1"/>
    <col min="16" max="16" width="12.28515625" style="68" customWidth="1"/>
    <col min="17" max="17" width="11.5703125" style="68" customWidth="1"/>
    <col min="18" max="18" width="12.140625" style="68" customWidth="1"/>
    <col min="19" max="19" width="9" style="68" customWidth="1"/>
    <col min="20" max="20" width="9.140625" style="68" hidden="1" customWidth="1"/>
    <col min="21" max="16384" width="9.140625" style="68"/>
  </cols>
  <sheetData>
    <row r="1" spans="1:20" s="15" customFormat="1" ht="15.75" x14ac:dyDescent="0.25">
      <c r="G1" s="788" t="s">
        <v>0</v>
      </c>
      <c r="H1" s="788"/>
      <c r="I1" s="788"/>
      <c r="J1" s="788"/>
      <c r="K1" s="788"/>
      <c r="L1" s="788"/>
      <c r="M1" s="788"/>
      <c r="N1" s="37"/>
      <c r="O1" s="37"/>
      <c r="Q1" s="871" t="s">
        <v>531</v>
      </c>
      <c r="R1" s="871"/>
      <c r="S1" s="39"/>
    </row>
    <row r="2" spans="1:20" s="15" customFormat="1" ht="20.25" x14ac:dyDescent="0.3">
      <c r="B2" s="122"/>
      <c r="E2" s="789" t="s">
        <v>694</v>
      </c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20" s="15" customFormat="1" ht="20.25" x14ac:dyDescent="0.3">
      <c r="B3" s="120"/>
      <c r="C3" s="120"/>
      <c r="D3" s="120"/>
      <c r="E3" s="120"/>
      <c r="F3" s="120"/>
      <c r="G3" s="120"/>
      <c r="H3" s="120"/>
      <c r="I3" s="120"/>
      <c r="J3" s="120"/>
    </row>
    <row r="4" spans="1:20" ht="18" x14ac:dyDescent="0.25">
      <c r="B4" s="1108" t="s">
        <v>845</v>
      </c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</row>
    <row r="5" spans="1:20" x14ac:dyDescent="0.25">
      <c r="C5" s="69"/>
      <c r="D5" s="69"/>
      <c r="E5" s="69"/>
      <c r="F5" s="69"/>
      <c r="G5" s="69"/>
      <c r="H5" s="69"/>
      <c r="M5" s="69"/>
      <c r="N5" s="69"/>
      <c r="O5" s="69"/>
      <c r="P5" s="69"/>
      <c r="Q5" s="69"/>
      <c r="R5" s="69"/>
      <c r="S5" s="69"/>
      <c r="T5" s="69"/>
    </row>
    <row r="6" spans="1:20" x14ac:dyDescent="0.25">
      <c r="A6" s="557" t="s">
        <v>1098</v>
      </c>
      <c r="B6" s="33"/>
    </row>
    <row r="7" spans="1:20" x14ac:dyDescent="0.25">
      <c r="B7" s="71"/>
    </row>
    <row r="8" spans="1:20" s="72" customFormat="1" ht="29.25" customHeight="1" x14ac:dyDescent="0.25">
      <c r="A8" s="775" t="s">
        <v>1</v>
      </c>
      <c r="B8" s="1109" t="s">
        <v>2</v>
      </c>
      <c r="C8" s="1104" t="s">
        <v>231</v>
      </c>
      <c r="D8" s="1104"/>
      <c r="E8" s="1104"/>
      <c r="F8" s="1104"/>
      <c r="G8" s="1101" t="s">
        <v>765</v>
      </c>
      <c r="H8" s="1102"/>
      <c r="I8" s="1102"/>
      <c r="J8" s="1105"/>
      <c r="K8" s="1101" t="s">
        <v>200</v>
      </c>
      <c r="L8" s="1102"/>
      <c r="M8" s="1102"/>
      <c r="N8" s="1105"/>
      <c r="O8" s="1101" t="s">
        <v>102</v>
      </c>
      <c r="P8" s="1102"/>
      <c r="Q8" s="1102"/>
      <c r="R8" s="1103"/>
    </row>
    <row r="9" spans="1:20" s="73" customFormat="1" ht="27.75" customHeight="1" x14ac:dyDescent="0.25">
      <c r="A9" s="775"/>
      <c r="B9" s="1110"/>
      <c r="C9" s="78" t="s">
        <v>88</v>
      </c>
      <c r="D9" s="78" t="s">
        <v>92</v>
      </c>
      <c r="E9" s="78" t="s">
        <v>93</v>
      </c>
      <c r="F9" s="78" t="s">
        <v>15</v>
      </c>
      <c r="G9" s="78" t="s">
        <v>88</v>
      </c>
      <c r="H9" s="78" t="s">
        <v>92</v>
      </c>
      <c r="I9" s="78" t="s">
        <v>93</v>
      </c>
      <c r="J9" s="78" t="s">
        <v>15</v>
      </c>
      <c r="K9" s="78" t="s">
        <v>88</v>
      </c>
      <c r="L9" s="78" t="s">
        <v>92</v>
      </c>
      <c r="M9" s="78" t="s">
        <v>93</v>
      </c>
      <c r="N9" s="78" t="s">
        <v>15</v>
      </c>
      <c r="O9" s="78" t="s">
        <v>135</v>
      </c>
      <c r="P9" s="78" t="s">
        <v>136</v>
      </c>
      <c r="Q9" s="155" t="s">
        <v>137</v>
      </c>
      <c r="R9" s="78" t="s">
        <v>138</v>
      </c>
      <c r="S9" s="115"/>
    </row>
    <row r="10" spans="1:20" s="292" customFormat="1" ht="16.149999999999999" customHeight="1" x14ac:dyDescent="0.2">
      <c r="A10" s="61">
        <v>1</v>
      </c>
      <c r="B10" s="145">
        <v>2</v>
      </c>
      <c r="C10" s="291">
        <v>3</v>
      </c>
      <c r="D10" s="291">
        <v>4</v>
      </c>
      <c r="E10" s="291">
        <v>5</v>
      </c>
      <c r="F10" s="291">
        <v>6</v>
      </c>
      <c r="G10" s="291">
        <v>7</v>
      </c>
      <c r="H10" s="291">
        <v>8</v>
      </c>
      <c r="I10" s="291">
        <v>9</v>
      </c>
      <c r="J10" s="291">
        <v>10</v>
      </c>
      <c r="K10" s="291">
        <v>11</v>
      </c>
      <c r="L10" s="291">
        <v>12</v>
      </c>
      <c r="M10" s="291">
        <v>13</v>
      </c>
      <c r="N10" s="291">
        <v>14</v>
      </c>
      <c r="O10" s="291">
        <v>15</v>
      </c>
      <c r="P10" s="291">
        <v>16</v>
      </c>
      <c r="Q10" s="291">
        <v>17</v>
      </c>
      <c r="R10" s="145">
        <v>18</v>
      </c>
    </row>
    <row r="11" spans="1:20" s="157" customFormat="1" ht="16.149999999999999" customHeight="1" x14ac:dyDescent="0.2">
      <c r="A11" s="5">
        <v>1</v>
      </c>
      <c r="B11" s="351" t="s">
        <v>875</v>
      </c>
      <c r="C11" s="546">
        <f>'AT3A_cvrg(Insti)_PY'!C12+'AT3B_cvrg(Insti)_UPY '!C11+'AT3C_cvrg(Insti)_UPY '!C11</f>
        <v>2021</v>
      </c>
      <c r="D11" s="546">
        <f>'AT3A_cvrg(Insti)_PY'!D12+'AT3B_cvrg(Insti)_UPY '!D11+'AT3C_cvrg(Insti)_UPY '!D11</f>
        <v>126</v>
      </c>
      <c r="E11" s="546">
        <v>0</v>
      </c>
      <c r="F11" s="546">
        <f>SUM(C11:E11)</f>
        <v>2147</v>
      </c>
      <c r="G11" s="548">
        <v>2454</v>
      </c>
      <c r="H11" s="546">
        <v>124</v>
      </c>
      <c r="I11" s="546">
        <v>0</v>
      </c>
      <c r="J11" s="548">
        <f>SUM(G11:I11)</f>
        <v>2578</v>
      </c>
      <c r="K11" s="655">
        <v>0</v>
      </c>
      <c r="L11" s="546">
        <v>0</v>
      </c>
      <c r="M11" s="546">
        <v>0</v>
      </c>
      <c r="N11" s="655">
        <v>0</v>
      </c>
      <c r="O11" s="551">
        <f>C11-G11-K11</f>
        <v>-433</v>
      </c>
      <c r="P11" s="551">
        <f t="shared" ref="P11:Q26" si="0">D11-H11-L11</f>
        <v>2</v>
      </c>
      <c r="Q11" s="551">
        <f t="shared" si="0"/>
        <v>0</v>
      </c>
      <c r="R11" s="552">
        <f>SUM(O11:Q11)</f>
        <v>-431</v>
      </c>
      <c r="S11" s="549"/>
    </row>
    <row r="12" spans="1:20" s="157" customFormat="1" ht="16.149999999999999" customHeight="1" x14ac:dyDescent="0.2">
      <c r="A12" s="5">
        <v>2</v>
      </c>
      <c r="B12" s="351" t="s">
        <v>876</v>
      </c>
      <c r="C12" s="546">
        <f>'AT3A_cvrg(Insti)_PY'!C13+'AT3B_cvrg(Insti)_UPY '!C12+'AT3C_cvrg(Insti)_UPY '!C12</f>
        <v>750</v>
      </c>
      <c r="D12" s="546">
        <f>'AT3A_cvrg(Insti)_PY'!D13+'AT3B_cvrg(Insti)_UPY '!D12+'AT3C_cvrg(Insti)_UPY '!D12</f>
        <v>118</v>
      </c>
      <c r="E12" s="546">
        <v>0</v>
      </c>
      <c r="F12" s="546">
        <f t="shared" ref="F12:F34" si="1">SUM(C12:E12)</f>
        <v>868</v>
      </c>
      <c r="G12" s="548">
        <v>977</v>
      </c>
      <c r="H12" s="546">
        <v>44</v>
      </c>
      <c r="I12" s="546">
        <v>0</v>
      </c>
      <c r="J12" s="548">
        <f t="shared" ref="J12:J34" si="2">SUM(G12:I12)</f>
        <v>1021</v>
      </c>
      <c r="K12" s="655">
        <v>0</v>
      </c>
      <c r="L12" s="546">
        <v>0</v>
      </c>
      <c r="M12" s="546">
        <v>0</v>
      </c>
      <c r="N12" s="655">
        <v>0</v>
      </c>
      <c r="O12" s="551">
        <f t="shared" ref="O12:O34" si="3">C12-G12-K12</f>
        <v>-227</v>
      </c>
      <c r="P12" s="551">
        <f t="shared" si="0"/>
        <v>74</v>
      </c>
      <c r="Q12" s="551">
        <f t="shared" si="0"/>
        <v>0</v>
      </c>
      <c r="R12" s="552">
        <f t="shared" ref="R12:R34" si="4">SUM(O12:Q12)</f>
        <v>-153</v>
      </c>
      <c r="S12" s="549"/>
    </row>
    <row r="13" spans="1:20" s="157" customFormat="1" ht="16.149999999999999" customHeight="1" x14ac:dyDescent="0.2">
      <c r="A13" s="5">
        <v>3</v>
      </c>
      <c r="B13" s="351" t="s">
        <v>877</v>
      </c>
      <c r="C13" s="546">
        <f>'AT3A_cvrg(Insti)_PY'!C14+'AT3B_cvrg(Insti)_UPY '!C13+'AT3C_cvrg(Insti)_UPY '!C13</f>
        <v>478</v>
      </c>
      <c r="D13" s="546">
        <f>'AT3A_cvrg(Insti)_PY'!D14+'AT3B_cvrg(Insti)_UPY '!D13+'AT3C_cvrg(Insti)_UPY '!D13</f>
        <v>13</v>
      </c>
      <c r="E13" s="546">
        <v>0</v>
      </c>
      <c r="F13" s="546">
        <f t="shared" si="1"/>
        <v>491</v>
      </c>
      <c r="G13" s="548">
        <v>705</v>
      </c>
      <c r="H13" s="546">
        <v>5</v>
      </c>
      <c r="I13" s="546">
        <v>0</v>
      </c>
      <c r="J13" s="548">
        <f t="shared" si="2"/>
        <v>710</v>
      </c>
      <c r="K13" s="655">
        <v>0</v>
      </c>
      <c r="L13" s="546">
        <v>0</v>
      </c>
      <c r="M13" s="546">
        <v>0</v>
      </c>
      <c r="N13" s="655">
        <v>0</v>
      </c>
      <c r="O13" s="551">
        <f t="shared" si="3"/>
        <v>-227</v>
      </c>
      <c r="P13" s="551">
        <f t="shared" si="0"/>
        <v>8</v>
      </c>
      <c r="Q13" s="551">
        <f t="shared" si="0"/>
        <v>0</v>
      </c>
      <c r="R13" s="552">
        <f t="shared" si="4"/>
        <v>-219</v>
      </c>
      <c r="S13" s="549"/>
    </row>
    <row r="14" spans="1:20" s="157" customFormat="1" ht="16.149999999999999" customHeight="1" x14ac:dyDescent="0.2">
      <c r="A14" s="5">
        <v>4</v>
      </c>
      <c r="B14" s="351" t="s">
        <v>878</v>
      </c>
      <c r="C14" s="546">
        <f>'AT3A_cvrg(Insti)_PY'!C15+'AT3B_cvrg(Insti)_UPY '!C14+'AT3C_cvrg(Insti)_UPY '!C14</f>
        <v>1299</v>
      </c>
      <c r="D14" s="546">
        <f>'AT3A_cvrg(Insti)_PY'!D15+'AT3B_cvrg(Insti)_UPY '!D14+'AT3C_cvrg(Insti)_UPY '!D14</f>
        <v>219</v>
      </c>
      <c r="E14" s="546">
        <v>0</v>
      </c>
      <c r="F14" s="546">
        <f t="shared" si="1"/>
        <v>1518</v>
      </c>
      <c r="G14" s="548">
        <v>1646</v>
      </c>
      <c r="H14" s="546">
        <v>130</v>
      </c>
      <c r="I14" s="546">
        <v>0</v>
      </c>
      <c r="J14" s="548">
        <f t="shared" si="2"/>
        <v>1776</v>
      </c>
      <c r="K14" s="655">
        <v>347</v>
      </c>
      <c r="L14" s="546">
        <v>0</v>
      </c>
      <c r="M14" s="546">
        <v>0</v>
      </c>
      <c r="N14" s="655">
        <v>347</v>
      </c>
      <c r="O14" s="551">
        <f t="shared" si="3"/>
        <v>-694</v>
      </c>
      <c r="P14" s="551">
        <f t="shared" si="0"/>
        <v>89</v>
      </c>
      <c r="Q14" s="551">
        <f t="shared" si="0"/>
        <v>0</v>
      </c>
      <c r="R14" s="552">
        <f t="shared" si="4"/>
        <v>-605</v>
      </c>
      <c r="S14" s="549"/>
    </row>
    <row r="15" spans="1:20" s="157" customFormat="1" ht="16.149999999999999" customHeight="1" x14ac:dyDescent="0.2">
      <c r="A15" s="5">
        <v>5</v>
      </c>
      <c r="B15" s="351" t="s">
        <v>879</v>
      </c>
      <c r="C15" s="546">
        <f>'AT3A_cvrg(Insti)_PY'!C16+'AT3B_cvrg(Insti)_UPY '!C15+'AT3C_cvrg(Insti)_UPY '!C15</f>
        <v>744</v>
      </c>
      <c r="D15" s="546">
        <f>'AT3A_cvrg(Insti)_PY'!D16+'AT3B_cvrg(Insti)_UPY '!D15+'AT3C_cvrg(Insti)_UPY '!D15</f>
        <v>224</v>
      </c>
      <c r="E15" s="546">
        <v>0</v>
      </c>
      <c r="F15" s="546">
        <f t="shared" si="1"/>
        <v>968</v>
      </c>
      <c r="G15" s="548">
        <v>799</v>
      </c>
      <c r="H15" s="546">
        <v>226</v>
      </c>
      <c r="I15" s="546">
        <v>0</v>
      </c>
      <c r="J15" s="548">
        <f t="shared" si="2"/>
        <v>1025</v>
      </c>
      <c r="K15" s="655">
        <v>0</v>
      </c>
      <c r="L15" s="546">
        <v>0</v>
      </c>
      <c r="M15" s="546">
        <v>0</v>
      </c>
      <c r="N15" s="655">
        <v>0</v>
      </c>
      <c r="O15" s="551">
        <f t="shared" si="3"/>
        <v>-55</v>
      </c>
      <c r="P15" s="551">
        <f t="shared" si="0"/>
        <v>-2</v>
      </c>
      <c r="Q15" s="551">
        <f t="shared" si="0"/>
        <v>0</v>
      </c>
      <c r="R15" s="552">
        <f t="shared" si="4"/>
        <v>-57</v>
      </c>
      <c r="S15" s="549"/>
    </row>
    <row r="16" spans="1:20" s="157" customFormat="1" ht="16.149999999999999" customHeight="1" x14ac:dyDescent="0.2">
      <c r="A16" s="5">
        <v>6</v>
      </c>
      <c r="B16" s="351" t="s">
        <v>880</v>
      </c>
      <c r="C16" s="546">
        <f>'AT3A_cvrg(Insti)_PY'!C17+'AT3B_cvrg(Insti)_UPY '!C16+'AT3C_cvrg(Insti)_UPY '!C16</f>
        <v>1549</v>
      </c>
      <c r="D16" s="546">
        <f>'AT3A_cvrg(Insti)_PY'!D17+'AT3B_cvrg(Insti)_UPY '!D16+'AT3C_cvrg(Insti)_UPY '!D16</f>
        <v>70</v>
      </c>
      <c r="E16" s="546">
        <v>0</v>
      </c>
      <c r="F16" s="546">
        <f t="shared" si="1"/>
        <v>1619</v>
      </c>
      <c r="G16" s="548">
        <v>1897</v>
      </c>
      <c r="H16" s="546">
        <v>0</v>
      </c>
      <c r="I16" s="546">
        <v>0</v>
      </c>
      <c r="J16" s="548">
        <f t="shared" si="2"/>
        <v>1897</v>
      </c>
      <c r="K16" s="655">
        <v>0</v>
      </c>
      <c r="L16" s="546">
        <v>0</v>
      </c>
      <c r="M16" s="546">
        <v>0</v>
      </c>
      <c r="N16" s="655">
        <v>0</v>
      </c>
      <c r="O16" s="551">
        <f t="shared" si="3"/>
        <v>-348</v>
      </c>
      <c r="P16" s="551">
        <f t="shared" si="0"/>
        <v>70</v>
      </c>
      <c r="Q16" s="551">
        <f t="shared" si="0"/>
        <v>0</v>
      </c>
      <c r="R16" s="552">
        <f t="shared" si="4"/>
        <v>-278</v>
      </c>
      <c r="S16" s="549"/>
    </row>
    <row r="17" spans="1:19" s="157" customFormat="1" ht="16.149999999999999" customHeight="1" x14ac:dyDescent="0.2">
      <c r="A17" s="5">
        <v>7</v>
      </c>
      <c r="B17" s="351" t="s">
        <v>923</v>
      </c>
      <c r="C17" s="546">
        <f>'AT3A_cvrg(Insti)_PY'!C18+'AT3B_cvrg(Insti)_UPY '!C17+'AT3C_cvrg(Insti)_UPY '!C17</f>
        <v>1381</v>
      </c>
      <c r="D17" s="546">
        <f>'AT3A_cvrg(Insti)_PY'!D18+'AT3B_cvrg(Insti)_UPY '!D17+'AT3C_cvrg(Insti)_UPY '!D17</f>
        <v>0</v>
      </c>
      <c r="E17" s="546">
        <v>0</v>
      </c>
      <c r="F17" s="546">
        <f t="shared" si="1"/>
        <v>1381</v>
      </c>
      <c r="G17" s="548">
        <v>1578</v>
      </c>
      <c r="H17" s="546">
        <v>0</v>
      </c>
      <c r="I17" s="546">
        <v>0</v>
      </c>
      <c r="J17" s="548">
        <f t="shared" si="2"/>
        <v>1578</v>
      </c>
      <c r="K17" s="655">
        <v>0</v>
      </c>
      <c r="L17" s="546">
        <v>0</v>
      </c>
      <c r="M17" s="546">
        <v>0</v>
      </c>
      <c r="N17" s="655">
        <v>0</v>
      </c>
      <c r="O17" s="551">
        <f t="shared" si="3"/>
        <v>-197</v>
      </c>
      <c r="P17" s="551">
        <f t="shared" si="0"/>
        <v>0</v>
      </c>
      <c r="Q17" s="551">
        <f t="shared" si="0"/>
        <v>0</v>
      </c>
      <c r="R17" s="552">
        <f t="shared" si="4"/>
        <v>-197</v>
      </c>
      <c r="S17" s="549"/>
    </row>
    <row r="18" spans="1:19" s="157" customFormat="1" ht="16.149999999999999" customHeight="1" x14ac:dyDescent="0.2">
      <c r="A18" s="5">
        <v>8</v>
      </c>
      <c r="B18" s="351" t="s">
        <v>882</v>
      </c>
      <c r="C18" s="546">
        <f>'AT3A_cvrg(Insti)_PY'!C19+'AT3B_cvrg(Insti)_UPY '!C18+'AT3C_cvrg(Insti)_UPY '!C18</f>
        <v>2000</v>
      </c>
      <c r="D18" s="546">
        <f>'AT3A_cvrg(Insti)_PY'!D19+'AT3B_cvrg(Insti)_UPY '!D18+'AT3C_cvrg(Insti)_UPY '!D18</f>
        <v>39</v>
      </c>
      <c r="E18" s="546">
        <v>0</v>
      </c>
      <c r="F18" s="546">
        <f t="shared" si="1"/>
        <v>2039</v>
      </c>
      <c r="G18" s="548">
        <v>2213</v>
      </c>
      <c r="H18" s="546">
        <v>40</v>
      </c>
      <c r="I18" s="546">
        <v>0</v>
      </c>
      <c r="J18" s="548">
        <f t="shared" si="2"/>
        <v>2253</v>
      </c>
      <c r="K18" s="655">
        <v>0</v>
      </c>
      <c r="L18" s="546">
        <v>0</v>
      </c>
      <c r="M18" s="546">
        <v>0</v>
      </c>
      <c r="N18" s="655">
        <v>0</v>
      </c>
      <c r="O18" s="551">
        <f t="shared" si="3"/>
        <v>-213</v>
      </c>
      <c r="P18" s="551">
        <f t="shared" si="0"/>
        <v>-1</v>
      </c>
      <c r="Q18" s="551">
        <f t="shared" si="0"/>
        <v>0</v>
      </c>
      <c r="R18" s="552">
        <f t="shared" si="4"/>
        <v>-214</v>
      </c>
      <c r="S18" s="549"/>
    </row>
    <row r="19" spans="1:19" s="157" customFormat="1" ht="16.149999999999999" customHeight="1" x14ac:dyDescent="0.2">
      <c r="A19" s="5">
        <v>9</v>
      </c>
      <c r="B19" s="351" t="s">
        <v>883</v>
      </c>
      <c r="C19" s="546">
        <f>'AT3A_cvrg(Insti)_PY'!C20+'AT3B_cvrg(Insti)_UPY '!C19+'AT3C_cvrg(Insti)_UPY '!C19</f>
        <v>2491</v>
      </c>
      <c r="D19" s="546">
        <f>'AT3A_cvrg(Insti)_PY'!D20+'AT3B_cvrg(Insti)_UPY '!D19+'AT3C_cvrg(Insti)_UPY '!D19</f>
        <v>5</v>
      </c>
      <c r="E19" s="546">
        <v>0</v>
      </c>
      <c r="F19" s="546">
        <f t="shared" si="1"/>
        <v>2496</v>
      </c>
      <c r="G19" s="548">
        <v>2383</v>
      </c>
      <c r="H19" s="546">
        <v>0</v>
      </c>
      <c r="I19" s="546">
        <v>0</v>
      </c>
      <c r="J19" s="548">
        <f t="shared" si="2"/>
        <v>2383</v>
      </c>
      <c r="K19" s="655">
        <v>0</v>
      </c>
      <c r="L19" s="546">
        <v>0</v>
      </c>
      <c r="M19" s="546">
        <v>0</v>
      </c>
      <c r="N19" s="655">
        <v>0</v>
      </c>
      <c r="O19" s="551">
        <f t="shared" si="3"/>
        <v>108</v>
      </c>
      <c r="P19" s="551">
        <f t="shared" si="0"/>
        <v>5</v>
      </c>
      <c r="Q19" s="551">
        <f t="shared" si="0"/>
        <v>0</v>
      </c>
      <c r="R19" s="552">
        <f t="shared" si="4"/>
        <v>113</v>
      </c>
      <c r="S19" s="549"/>
    </row>
    <row r="20" spans="1:19" s="157" customFormat="1" ht="16.149999999999999" customHeight="1" x14ac:dyDescent="0.2">
      <c r="A20" s="5">
        <v>10</v>
      </c>
      <c r="B20" s="351" t="s">
        <v>884</v>
      </c>
      <c r="C20" s="546">
        <f>'AT3A_cvrg(Insti)_PY'!C21+'AT3B_cvrg(Insti)_UPY '!C20+'AT3C_cvrg(Insti)_UPY '!C20</f>
        <v>1028</v>
      </c>
      <c r="D20" s="546">
        <f>'AT3A_cvrg(Insti)_PY'!D21+'AT3B_cvrg(Insti)_UPY '!D20+'AT3C_cvrg(Insti)_UPY '!D20</f>
        <v>9</v>
      </c>
      <c r="E20" s="546">
        <v>0</v>
      </c>
      <c r="F20" s="546">
        <f t="shared" si="1"/>
        <v>1037</v>
      </c>
      <c r="G20" s="548">
        <v>1118</v>
      </c>
      <c r="H20" s="546">
        <v>1</v>
      </c>
      <c r="I20" s="546">
        <v>0</v>
      </c>
      <c r="J20" s="548">
        <f t="shared" si="2"/>
        <v>1119</v>
      </c>
      <c r="K20" s="655">
        <v>260</v>
      </c>
      <c r="L20" s="546">
        <v>0</v>
      </c>
      <c r="M20" s="546">
        <v>0</v>
      </c>
      <c r="N20" s="655">
        <v>260</v>
      </c>
      <c r="O20" s="551">
        <f t="shared" si="3"/>
        <v>-350</v>
      </c>
      <c r="P20" s="551">
        <f t="shared" si="0"/>
        <v>8</v>
      </c>
      <c r="Q20" s="551">
        <f t="shared" si="0"/>
        <v>0</v>
      </c>
      <c r="R20" s="552">
        <f t="shared" si="4"/>
        <v>-342</v>
      </c>
      <c r="S20" s="549"/>
    </row>
    <row r="21" spans="1:19" s="157" customFormat="1" ht="16.149999999999999" customHeight="1" x14ac:dyDescent="0.2">
      <c r="A21" s="5">
        <v>11</v>
      </c>
      <c r="B21" s="351" t="s">
        <v>885</v>
      </c>
      <c r="C21" s="546">
        <f>'AT3A_cvrg(Insti)_PY'!C22+'AT3B_cvrg(Insti)_UPY '!C21+'AT3C_cvrg(Insti)_UPY '!C21</f>
        <v>1390</v>
      </c>
      <c r="D21" s="546">
        <f>'AT3A_cvrg(Insti)_PY'!D22+'AT3B_cvrg(Insti)_UPY '!D21+'AT3C_cvrg(Insti)_UPY '!D21</f>
        <v>4</v>
      </c>
      <c r="E21" s="546">
        <v>0</v>
      </c>
      <c r="F21" s="546">
        <f t="shared" si="1"/>
        <v>1394</v>
      </c>
      <c r="G21" s="548">
        <v>1423</v>
      </c>
      <c r="H21" s="546">
        <v>0</v>
      </c>
      <c r="I21" s="546">
        <v>0</v>
      </c>
      <c r="J21" s="548">
        <f t="shared" si="2"/>
        <v>1423</v>
      </c>
      <c r="K21" s="655">
        <v>0</v>
      </c>
      <c r="L21" s="546">
        <v>0</v>
      </c>
      <c r="M21" s="546">
        <v>0</v>
      </c>
      <c r="N21" s="655">
        <v>0</v>
      </c>
      <c r="O21" s="551">
        <f t="shared" si="3"/>
        <v>-33</v>
      </c>
      <c r="P21" s="551">
        <f t="shared" si="0"/>
        <v>4</v>
      </c>
      <c r="Q21" s="551">
        <f t="shared" si="0"/>
        <v>0</v>
      </c>
      <c r="R21" s="552">
        <f t="shared" si="4"/>
        <v>-29</v>
      </c>
      <c r="S21" s="549"/>
    </row>
    <row r="22" spans="1:19" s="157" customFormat="1" ht="16.149999999999999" customHeight="1" x14ac:dyDescent="0.2">
      <c r="A22" s="5">
        <v>12</v>
      </c>
      <c r="B22" s="351" t="s">
        <v>886</v>
      </c>
      <c r="C22" s="546">
        <f>'AT3A_cvrg(Insti)_PY'!C23+'AT3B_cvrg(Insti)_UPY '!C22+'AT3C_cvrg(Insti)_UPY '!C22</f>
        <v>1433</v>
      </c>
      <c r="D22" s="546">
        <f>'AT3A_cvrg(Insti)_PY'!D23+'AT3B_cvrg(Insti)_UPY '!D22+'AT3C_cvrg(Insti)_UPY '!D22</f>
        <v>24</v>
      </c>
      <c r="E22" s="546">
        <v>0</v>
      </c>
      <c r="F22" s="546">
        <f t="shared" si="1"/>
        <v>1457</v>
      </c>
      <c r="G22" s="548">
        <v>1503</v>
      </c>
      <c r="H22" s="546">
        <v>0</v>
      </c>
      <c r="I22" s="546">
        <v>0</v>
      </c>
      <c r="J22" s="548">
        <f t="shared" si="2"/>
        <v>1503</v>
      </c>
      <c r="K22" s="655">
        <v>0</v>
      </c>
      <c r="L22" s="546">
        <v>0</v>
      </c>
      <c r="M22" s="546">
        <v>0</v>
      </c>
      <c r="N22" s="655">
        <v>0</v>
      </c>
      <c r="O22" s="551">
        <f t="shared" si="3"/>
        <v>-70</v>
      </c>
      <c r="P22" s="551">
        <f t="shared" si="0"/>
        <v>24</v>
      </c>
      <c r="Q22" s="551">
        <f t="shared" si="0"/>
        <v>0</v>
      </c>
      <c r="R22" s="552">
        <f t="shared" si="4"/>
        <v>-46</v>
      </c>
      <c r="S22" s="549"/>
    </row>
    <row r="23" spans="1:19" s="157" customFormat="1" ht="16.149999999999999" customHeight="1" x14ac:dyDescent="0.2">
      <c r="A23" s="5">
        <v>13</v>
      </c>
      <c r="B23" s="351" t="s">
        <v>887</v>
      </c>
      <c r="C23" s="546">
        <f>'AT3A_cvrg(Insti)_PY'!C24+'AT3B_cvrg(Insti)_UPY '!C23+'AT3C_cvrg(Insti)_UPY '!C23</f>
        <v>583</v>
      </c>
      <c r="D23" s="546">
        <f>'AT3A_cvrg(Insti)_PY'!D24+'AT3B_cvrg(Insti)_UPY '!D23+'AT3C_cvrg(Insti)_UPY '!D23</f>
        <v>3</v>
      </c>
      <c r="E23" s="546">
        <v>0</v>
      </c>
      <c r="F23" s="546">
        <f t="shared" si="1"/>
        <v>586</v>
      </c>
      <c r="G23" s="548">
        <v>748</v>
      </c>
      <c r="H23" s="546">
        <v>0</v>
      </c>
      <c r="I23" s="546">
        <v>0</v>
      </c>
      <c r="J23" s="548">
        <f t="shared" si="2"/>
        <v>748</v>
      </c>
      <c r="K23" s="655">
        <v>124</v>
      </c>
      <c r="L23" s="546">
        <v>0</v>
      </c>
      <c r="M23" s="546">
        <v>0</v>
      </c>
      <c r="N23" s="655">
        <v>124</v>
      </c>
      <c r="O23" s="551">
        <f t="shared" si="3"/>
        <v>-289</v>
      </c>
      <c r="P23" s="551">
        <f t="shared" si="0"/>
        <v>3</v>
      </c>
      <c r="Q23" s="551">
        <f t="shared" si="0"/>
        <v>0</v>
      </c>
      <c r="R23" s="552">
        <f t="shared" si="4"/>
        <v>-286</v>
      </c>
      <c r="S23" s="549"/>
    </row>
    <row r="24" spans="1:19" s="157" customFormat="1" ht="16.149999999999999" customHeight="1" x14ac:dyDescent="0.2">
      <c r="A24" s="5">
        <v>14</v>
      </c>
      <c r="B24" s="351" t="s">
        <v>888</v>
      </c>
      <c r="C24" s="546">
        <f>'AT3A_cvrg(Insti)_PY'!C25+'AT3B_cvrg(Insti)_UPY '!C24+'AT3C_cvrg(Insti)_UPY '!C24</f>
        <v>651</v>
      </c>
      <c r="D24" s="546">
        <f>'AT3A_cvrg(Insti)_PY'!D25+'AT3B_cvrg(Insti)_UPY '!D24+'AT3C_cvrg(Insti)_UPY '!D24</f>
        <v>3</v>
      </c>
      <c r="E24" s="546">
        <v>0</v>
      </c>
      <c r="F24" s="546">
        <f t="shared" si="1"/>
        <v>654</v>
      </c>
      <c r="G24" s="548">
        <v>771</v>
      </c>
      <c r="H24" s="546">
        <v>0</v>
      </c>
      <c r="I24" s="546">
        <v>0</v>
      </c>
      <c r="J24" s="548">
        <f t="shared" si="2"/>
        <v>771</v>
      </c>
      <c r="K24" s="655">
        <v>0</v>
      </c>
      <c r="L24" s="546">
        <v>0</v>
      </c>
      <c r="M24" s="546">
        <v>0</v>
      </c>
      <c r="N24" s="655">
        <v>0</v>
      </c>
      <c r="O24" s="551">
        <f t="shared" si="3"/>
        <v>-120</v>
      </c>
      <c r="P24" s="551">
        <f t="shared" si="0"/>
        <v>3</v>
      </c>
      <c r="Q24" s="551">
        <f t="shared" si="0"/>
        <v>0</v>
      </c>
      <c r="R24" s="552">
        <f t="shared" si="4"/>
        <v>-117</v>
      </c>
      <c r="S24" s="549"/>
    </row>
    <row r="25" spans="1:19" s="157" customFormat="1" ht="16.149999999999999" customHeight="1" x14ac:dyDescent="0.2">
      <c r="A25" s="5">
        <v>15</v>
      </c>
      <c r="B25" s="351" t="s">
        <v>924</v>
      </c>
      <c r="C25" s="546">
        <f>'AT3A_cvrg(Insti)_PY'!C26+'AT3B_cvrg(Insti)_UPY '!C25+'AT3C_cvrg(Insti)_UPY '!C25</f>
        <v>1535</v>
      </c>
      <c r="D25" s="546">
        <f>'AT3A_cvrg(Insti)_PY'!D26+'AT3B_cvrg(Insti)_UPY '!D25+'AT3C_cvrg(Insti)_UPY '!D25</f>
        <v>1</v>
      </c>
      <c r="E25" s="546">
        <v>0</v>
      </c>
      <c r="F25" s="546">
        <f t="shared" si="1"/>
        <v>1536</v>
      </c>
      <c r="G25" s="548">
        <v>1828</v>
      </c>
      <c r="H25" s="546">
        <v>1</v>
      </c>
      <c r="I25" s="546">
        <v>0</v>
      </c>
      <c r="J25" s="548">
        <f t="shared" si="2"/>
        <v>1829</v>
      </c>
      <c r="K25" s="655">
        <v>0</v>
      </c>
      <c r="L25" s="546">
        <v>0</v>
      </c>
      <c r="M25" s="546">
        <v>0</v>
      </c>
      <c r="N25" s="655">
        <v>0</v>
      </c>
      <c r="O25" s="551">
        <f t="shared" si="3"/>
        <v>-293</v>
      </c>
      <c r="P25" s="551">
        <f t="shared" si="0"/>
        <v>0</v>
      </c>
      <c r="Q25" s="551">
        <f t="shared" si="0"/>
        <v>0</v>
      </c>
      <c r="R25" s="552">
        <f t="shared" si="4"/>
        <v>-293</v>
      </c>
      <c r="S25" s="549"/>
    </row>
    <row r="26" spans="1:19" s="157" customFormat="1" ht="16.149999999999999" customHeight="1" x14ac:dyDescent="0.2">
      <c r="A26" s="5">
        <v>16</v>
      </c>
      <c r="B26" s="351" t="s">
        <v>890</v>
      </c>
      <c r="C26" s="546">
        <f>'AT3A_cvrg(Insti)_PY'!C27+'AT3B_cvrg(Insti)_UPY '!C26+'AT3C_cvrg(Insti)_UPY '!C26</f>
        <v>3099</v>
      </c>
      <c r="D26" s="546">
        <f>'AT3A_cvrg(Insti)_PY'!D27+'AT3B_cvrg(Insti)_UPY '!D26+'AT3C_cvrg(Insti)_UPY '!D26</f>
        <v>30</v>
      </c>
      <c r="E26" s="546">
        <v>0</v>
      </c>
      <c r="F26" s="546">
        <f t="shared" si="1"/>
        <v>3129</v>
      </c>
      <c r="G26" s="548">
        <v>3100</v>
      </c>
      <c r="H26" s="546">
        <v>0</v>
      </c>
      <c r="I26" s="546">
        <v>0</v>
      </c>
      <c r="J26" s="548">
        <f t="shared" si="2"/>
        <v>3100</v>
      </c>
      <c r="K26" s="655">
        <v>604</v>
      </c>
      <c r="L26" s="546">
        <v>0</v>
      </c>
      <c r="M26" s="546">
        <v>0</v>
      </c>
      <c r="N26" s="655">
        <v>604</v>
      </c>
      <c r="O26" s="551">
        <f t="shared" si="3"/>
        <v>-605</v>
      </c>
      <c r="P26" s="551">
        <f t="shared" si="0"/>
        <v>30</v>
      </c>
      <c r="Q26" s="551">
        <f t="shared" si="0"/>
        <v>0</v>
      </c>
      <c r="R26" s="552">
        <f t="shared" si="4"/>
        <v>-575</v>
      </c>
      <c r="S26" s="549"/>
    </row>
    <row r="27" spans="1:19" s="157" customFormat="1" ht="16.149999999999999" customHeight="1" x14ac:dyDescent="0.2">
      <c r="A27" s="5">
        <v>17</v>
      </c>
      <c r="B27" s="351" t="s">
        <v>891</v>
      </c>
      <c r="C27" s="546">
        <f>'AT3A_cvrg(Insti)_PY'!C28+'AT3B_cvrg(Insti)_UPY '!C27+'AT3C_cvrg(Insti)_UPY '!C27</f>
        <v>1679</v>
      </c>
      <c r="D27" s="546">
        <f>'AT3A_cvrg(Insti)_PY'!D28+'AT3B_cvrg(Insti)_UPY '!D27+'AT3C_cvrg(Insti)_UPY '!D27</f>
        <v>13</v>
      </c>
      <c r="E27" s="546">
        <v>0</v>
      </c>
      <c r="F27" s="546">
        <f t="shared" si="1"/>
        <v>1692</v>
      </c>
      <c r="G27" s="548">
        <v>1905</v>
      </c>
      <c r="H27" s="546">
        <v>3</v>
      </c>
      <c r="I27" s="546">
        <v>0</v>
      </c>
      <c r="J27" s="548">
        <f t="shared" si="2"/>
        <v>1908</v>
      </c>
      <c r="K27" s="655">
        <v>0</v>
      </c>
      <c r="L27" s="546">
        <v>0</v>
      </c>
      <c r="M27" s="546">
        <v>0</v>
      </c>
      <c r="N27" s="655">
        <v>0</v>
      </c>
      <c r="O27" s="551">
        <f t="shared" si="3"/>
        <v>-226</v>
      </c>
      <c r="P27" s="551">
        <f t="shared" ref="P27:P34" si="5">D27-H27-L27</f>
        <v>10</v>
      </c>
      <c r="Q27" s="551">
        <f t="shared" ref="Q27:Q34" si="6">E27-I27-M27</f>
        <v>0</v>
      </c>
      <c r="R27" s="552">
        <f t="shared" si="4"/>
        <v>-216</v>
      </c>
      <c r="S27" s="549"/>
    </row>
    <row r="28" spans="1:19" s="157" customFormat="1" ht="16.149999999999999" customHeight="1" x14ac:dyDescent="0.2">
      <c r="A28" s="5">
        <v>18</v>
      </c>
      <c r="B28" s="351" t="s">
        <v>892</v>
      </c>
      <c r="C28" s="546">
        <f>'AT3A_cvrg(Insti)_PY'!C29+'AT3B_cvrg(Insti)_UPY '!C28+'AT3C_cvrg(Insti)_UPY '!C28</f>
        <v>1520</v>
      </c>
      <c r="D28" s="546">
        <f>'AT3A_cvrg(Insti)_PY'!D29+'AT3B_cvrg(Insti)_UPY '!D28+'AT3C_cvrg(Insti)_UPY '!D28</f>
        <v>2</v>
      </c>
      <c r="E28" s="546">
        <v>0</v>
      </c>
      <c r="F28" s="546">
        <f t="shared" si="1"/>
        <v>1522</v>
      </c>
      <c r="G28" s="548">
        <v>1734</v>
      </c>
      <c r="H28" s="546">
        <v>0</v>
      </c>
      <c r="I28" s="546">
        <v>0</v>
      </c>
      <c r="J28" s="548">
        <f t="shared" si="2"/>
        <v>1734</v>
      </c>
      <c r="K28" s="655">
        <v>808</v>
      </c>
      <c r="L28" s="546">
        <v>0</v>
      </c>
      <c r="M28" s="546">
        <v>0</v>
      </c>
      <c r="N28" s="655">
        <v>808</v>
      </c>
      <c r="O28" s="551">
        <f t="shared" si="3"/>
        <v>-1022</v>
      </c>
      <c r="P28" s="551">
        <f t="shared" si="5"/>
        <v>2</v>
      </c>
      <c r="Q28" s="551">
        <f t="shared" si="6"/>
        <v>0</v>
      </c>
      <c r="R28" s="552">
        <f t="shared" si="4"/>
        <v>-1020</v>
      </c>
      <c r="S28" s="549"/>
    </row>
    <row r="29" spans="1:19" s="157" customFormat="1" ht="16.149999999999999" customHeight="1" x14ac:dyDescent="0.2">
      <c r="A29" s="5">
        <v>19</v>
      </c>
      <c r="B29" s="351" t="s">
        <v>893</v>
      </c>
      <c r="C29" s="546">
        <f>'AT3A_cvrg(Insti)_PY'!C30+'AT3B_cvrg(Insti)_UPY '!C29+'AT3C_cvrg(Insti)_UPY '!C29</f>
        <v>2265</v>
      </c>
      <c r="D29" s="546">
        <f>'AT3A_cvrg(Insti)_PY'!D30+'AT3B_cvrg(Insti)_UPY '!D29+'AT3C_cvrg(Insti)_UPY '!D29</f>
        <v>21</v>
      </c>
      <c r="E29" s="546">
        <v>0</v>
      </c>
      <c r="F29" s="546">
        <f t="shared" si="1"/>
        <v>2286</v>
      </c>
      <c r="G29" s="548">
        <v>2370</v>
      </c>
      <c r="H29" s="546">
        <v>0</v>
      </c>
      <c r="I29" s="546">
        <v>0</v>
      </c>
      <c r="J29" s="548">
        <f t="shared" si="2"/>
        <v>2370</v>
      </c>
      <c r="K29" s="655">
        <v>0</v>
      </c>
      <c r="L29" s="546">
        <v>0</v>
      </c>
      <c r="M29" s="546">
        <v>0</v>
      </c>
      <c r="N29" s="655">
        <v>0</v>
      </c>
      <c r="O29" s="551">
        <f t="shared" si="3"/>
        <v>-105</v>
      </c>
      <c r="P29" s="551">
        <f t="shared" si="5"/>
        <v>21</v>
      </c>
      <c r="Q29" s="551">
        <f t="shared" si="6"/>
        <v>0</v>
      </c>
      <c r="R29" s="552">
        <f t="shared" si="4"/>
        <v>-84</v>
      </c>
      <c r="S29" s="549"/>
    </row>
    <row r="30" spans="1:19" s="157" customFormat="1" ht="16.149999999999999" customHeight="1" x14ac:dyDescent="0.2">
      <c r="A30" s="5">
        <v>20</v>
      </c>
      <c r="B30" s="351" t="s">
        <v>894</v>
      </c>
      <c r="C30" s="546">
        <f>'AT3A_cvrg(Insti)_PY'!C31+'AT3B_cvrg(Insti)_UPY '!C30+'AT3C_cvrg(Insti)_UPY '!C30</f>
        <v>1010</v>
      </c>
      <c r="D30" s="546">
        <f>'AT3A_cvrg(Insti)_PY'!D31+'AT3B_cvrg(Insti)_UPY '!D30+'AT3C_cvrg(Insti)_UPY '!D30</f>
        <v>3</v>
      </c>
      <c r="E30" s="546">
        <v>0</v>
      </c>
      <c r="F30" s="546">
        <f t="shared" si="1"/>
        <v>1013</v>
      </c>
      <c r="G30" s="548">
        <v>1187</v>
      </c>
      <c r="H30" s="546">
        <v>0</v>
      </c>
      <c r="I30" s="546">
        <v>0</v>
      </c>
      <c r="J30" s="548">
        <f t="shared" si="2"/>
        <v>1187</v>
      </c>
      <c r="K30" s="655">
        <v>0</v>
      </c>
      <c r="L30" s="546">
        <v>0</v>
      </c>
      <c r="M30" s="546">
        <v>0</v>
      </c>
      <c r="N30" s="655">
        <v>0</v>
      </c>
      <c r="O30" s="551">
        <f t="shared" si="3"/>
        <v>-177</v>
      </c>
      <c r="P30" s="551">
        <f t="shared" si="5"/>
        <v>3</v>
      </c>
      <c r="Q30" s="551">
        <f t="shared" si="6"/>
        <v>0</v>
      </c>
      <c r="R30" s="552">
        <f t="shared" si="4"/>
        <v>-174</v>
      </c>
      <c r="S30" s="549"/>
    </row>
    <row r="31" spans="1:19" x14ac:dyDescent="0.25">
      <c r="A31" s="5">
        <v>21</v>
      </c>
      <c r="B31" s="351" t="s">
        <v>925</v>
      </c>
      <c r="C31" s="546">
        <f>'AT3A_cvrg(Insti)_PY'!C32+'AT3B_cvrg(Insti)_UPY '!C31+'AT3C_cvrg(Insti)_UPY '!C31</f>
        <v>1229</v>
      </c>
      <c r="D31" s="546">
        <f>'AT3A_cvrg(Insti)_PY'!D32+'AT3B_cvrg(Insti)_UPY '!D31+'AT3C_cvrg(Insti)_UPY '!D31</f>
        <v>7</v>
      </c>
      <c r="E31" s="546">
        <v>0</v>
      </c>
      <c r="F31" s="546">
        <f t="shared" si="1"/>
        <v>1236</v>
      </c>
      <c r="G31" s="504">
        <v>1363</v>
      </c>
      <c r="H31" s="547">
        <v>0</v>
      </c>
      <c r="I31" s="547">
        <v>0</v>
      </c>
      <c r="J31" s="548">
        <f t="shared" si="2"/>
        <v>1363</v>
      </c>
      <c r="K31" s="655">
        <v>0</v>
      </c>
      <c r="L31" s="547">
        <v>0</v>
      </c>
      <c r="M31" s="547">
        <v>0</v>
      </c>
      <c r="N31" s="655">
        <v>0</v>
      </c>
      <c r="O31" s="551">
        <f t="shared" si="3"/>
        <v>-134</v>
      </c>
      <c r="P31" s="551">
        <f t="shared" si="5"/>
        <v>7</v>
      </c>
      <c r="Q31" s="551">
        <f t="shared" si="6"/>
        <v>0</v>
      </c>
      <c r="R31" s="552">
        <f t="shared" si="4"/>
        <v>-127</v>
      </c>
      <c r="S31" s="550"/>
    </row>
    <row r="32" spans="1:19" x14ac:dyDescent="0.25">
      <c r="A32" s="5">
        <v>22</v>
      </c>
      <c r="B32" s="351" t="s">
        <v>896</v>
      </c>
      <c r="C32" s="546">
        <f>'AT3A_cvrg(Insti)_PY'!C33+'AT3B_cvrg(Insti)_UPY '!C32+'AT3C_cvrg(Insti)_UPY '!C32</f>
        <v>954</v>
      </c>
      <c r="D32" s="546">
        <f>'AT3A_cvrg(Insti)_PY'!D33+'AT3B_cvrg(Insti)_UPY '!D32+'AT3C_cvrg(Insti)_UPY '!D32</f>
        <v>11</v>
      </c>
      <c r="E32" s="546">
        <v>0</v>
      </c>
      <c r="F32" s="546">
        <f t="shared" si="1"/>
        <v>965</v>
      </c>
      <c r="G32" s="504">
        <v>996</v>
      </c>
      <c r="H32" s="547">
        <v>0</v>
      </c>
      <c r="I32" s="547">
        <v>0</v>
      </c>
      <c r="J32" s="548">
        <f t="shared" si="2"/>
        <v>996</v>
      </c>
      <c r="K32" s="655">
        <v>0</v>
      </c>
      <c r="L32" s="547">
        <v>0</v>
      </c>
      <c r="M32" s="547">
        <v>0</v>
      </c>
      <c r="N32" s="655">
        <v>0</v>
      </c>
      <c r="O32" s="551">
        <f t="shared" si="3"/>
        <v>-42</v>
      </c>
      <c r="P32" s="551">
        <f t="shared" si="5"/>
        <v>11</v>
      </c>
      <c r="Q32" s="551">
        <f t="shared" si="6"/>
        <v>0</v>
      </c>
      <c r="R32" s="552">
        <f t="shared" si="4"/>
        <v>-31</v>
      </c>
      <c r="S32" s="550"/>
    </row>
    <row r="33" spans="1:19" x14ac:dyDescent="0.25">
      <c r="A33" s="5">
        <v>23</v>
      </c>
      <c r="B33" s="351" t="s">
        <v>926</v>
      </c>
      <c r="C33" s="546">
        <f>'AT3A_cvrg(Insti)_PY'!C34+'AT3B_cvrg(Insti)_UPY '!C33+'AT3C_cvrg(Insti)_UPY '!C33</f>
        <v>1469</v>
      </c>
      <c r="D33" s="546">
        <f>'AT3A_cvrg(Insti)_PY'!D34+'AT3B_cvrg(Insti)_UPY '!D33+'AT3C_cvrg(Insti)_UPY '!D33</f>
        <v>4</v>
      </c>
      <c r="E33" s="546">
        <v>0</v>
      </c>
      <c r="F33" s="546">
        <f t="shared" si="1"/>
        <v>1473</v>
      </c>
      <c r="G33" s="504">
        <v>1722</v>
      </c>
      <c r="H33" s="547">
        <v>0</v>
      </c>
      <c r="I33" s="547">
        <v>0</v>
      </c>
      <c r="J33" s="548">
        <f t="shared" si="2"/>
        <v>1722</v>
      </c>
      <c r="K33" s="655">
        <v>0</v>
      </c>
      <c r="L33" s="547">
        <v>0</v>
      </c>
      <c r="M33" s="547">
        <v>0</v>
      </c>
      <c r="N33" s="655">
        <v>0</v>
      </c>
      <c r="O33" s="551">
        <f t="shared" si="3"/>
        <v>-253</v>
      </c>
      <c r="P33" s="551">
        <f t="shared" si="5"/>
        <v>4</v>
      </c>
      <c r="Q33" s="551">
        <f t="shared" si="6"/>
        <v>0</v>
      </c>
      <c r="R33" s="552">
        <f t="shared" si="4"/>
        <v>-249</v>
      </c>
      <c r="S33" s="550"/>
    </row>
    <row r="34" spans="1:19" x14ac:dyDescent="0.25">
      <c r="A34" s="5">
        <v>24</v>
      </c>
      <c r="B34" s="351" t="s">
        <v>898</v>
      </c>
      <c r="C34" s="546">
        <f>'AT3A_cvrg(Insti)_PY'!C35+'AT3B_cvrg(Insti)_UPY '!C34+'AT3C_cvrg(Insti)_UPY '!C34</f>
        <v>1938</v>
      </c>
      <c r="D34" s="546">
        <f>'AT3A_cvrg(Insti)_PY'!D35+'AT3B_cvrg(Insti)_UPY '!D34+'AT3C_cvrg(Insti)_UPY '!D34</f>
        <v>5</v>
      </c>
      <c r="E34" s="546">
        <v>0</v>
      </c>
      <c r="F34" s="546">
        <f t="shared" si="1"/>
        <v>1943</v>
      </c>
      <c r="G34" s="504">
        <v>2004</v>
      </c>
      <c r="H34" s="547">
        <v>3</v>
      </c>
      <c r="I34" s="547">
        <v>0</v>
      </c>
      <c r="J34" s="548">
        <f t="shared" si="2"/>
        <v>2007</v>
      </c>
      <c r="K34" s="655">
        <v>0</v>
      </c>
      <c r="L34" s="547">
        <v>0</v>
      </c>
      <c r="M34" s="547">
        <v>0</v>
      </c>
      <c r="N34" s="655">
        <v>0</v>
      </c>
      <c r="O34" s="551">
        <f t="shared" si="3"/>
        <v>-66</v>
      </c>
      <c r="P34" s="551">
        <f t="shared" si="5"/>
        <v>2</v>
      </c>
      <c r="Q34" s="551">
        <f t="shared" si="6"/>
        <v>0</v>
      </c>
      <c r="R34" s="552">
        <f t="shared" si="4"/>
        <v>-64</v>
      </c>
      <c r="S34" s="550"/>
    </row>
    <row r="35" spans="1:19" s="435" customFormat="1" ht="15.75" x14ac:dyDescent="0.25">
      <c r="A35" s="1106" t="s">
        <v>15</v>
      </c>
      <c r="B35" s="1107"/>
      <c r="C35" s="246">
        <f>SUM(C11:C34)</f>
        <v>34496</v>
      </c>
      <c r="D35" s="246">
        <f>SUM(D11:D34)</f>
        <v>954</v>
      </c>
      <c r="E35" s="246">
        <f>SUM(E11:E34)</f>
        <v>0</v>
      </c>
      <c r="F35" s="246">
        <f>SUM(C35:E35)</f>
        <v>35450</v>
      </c>
      <c r="G35" s="501">
        <f>SUM(G11:G34)</f>
        <v>38424</v>
      </c>
      <c r="H35" s="246">
        <f>SUM(H11:H34)</f>
        <v>577</v>
      </c>
      <c r="I35" s="246">
        <f>SUM(I11:I34)</f>
        <v>0</v>
      </c>
      <c r="J35" s="501">
        <f>SUM(G35:I35)</f>
        <v>39001</v>
      </c>
      <c r="K35" s="246">
        <f>SUM(K11:K34)</f>
        <v>2143</v>
      </c>
      <c r="L35" s="246">
        <f>SUM(L11:L34)</f>
        <v>0</v>
      </c>
      <c r="M35" s="246">
        <f>SUM(M11:M34)</f>
        <v>0</v>
      </c>
      <c r="N35" s="246">
        <f>SUM(K35:M35)</f>
        <v>2143</v>
      </c>
      <c r="O35" s="654">
        <f>SUM(O11:O34)</f>
        <v>-6071</v>
      </c>
      <c r="P35" s="654">
        <f>SUM(P11:P34)</f>
        <v>377</v>
      </c>
      <c r="Q35" s="654">
        <f>SUM(Q11:Q34)</f>
        <v>0</v>
      </c>
      <c r="R35" s="501">
        <f>SUM(O35:Q35)</f>
        <v>-5694</v>
      </c>
    </row>
    <row r="36" spans="1:19" s="435" customFormat="1" ht="15.75" x14ac:dyDescent="0.25">
      <c r="A36" s="587"/>
      <c r="B36" s="587"/>
      <c r="C36" s="247"/>
      <c r="D36" s="247"/>
      <c r="E36" s="247"/>
      <c r="F36" s="247"/>
      <c r="G36" s="588"/>
      <c r="H36" s="247"/>
      <c r="I36" s="247"/>
      <c r="J36" s="588"/>
      <c r="K36" s="247"/>
      <c r="L36" s="247"/>
      <c r="M36" s="247"/>
      <c r="N36" s="247"/>
      <c r="O36" s="588"/>
      <c r="P36" s="588"/>
      <c r="Q36" s="588"/>
      <c r="R36" s="588"/>
    </row>
    <row r="37" spans="1:19" s="435" customFormat="1" ht="15.75" x14ac:dyDescent="0.25">
      <c r="A37" s="587"/>
      <c r="B37" s="587"/>
      <c r="C37" s="247"/>
      <c r="D37" s="247"/>
      <c r="E37" s="247"/>
      <c r="F37" s="247"/>
      <c r="G37" s="588"/>
      <c r="H37" s="247"/>
      <c r="I37" s="247"/>
      <c r="J37" s="588"/>
      <c r="K37" s="247"/>
      <c r="L37" s="247"/>
      <c r="M37" s="247"/>
      <c r="N37" s="247"/>
      <c r="O37" s="588"/>
      <c r="P37" s="588"/>
      <c r="Q37" s="588"/>
      <c r="R37" s="588"/>
    </row>
    <row r="38" spans="1:19" s="435" customFormat="1" x14ac:dyDescent="0.25">
      <c r="A38" s="696" t="s">
        <v>11</v>
      </c>
      <c r="B38" s="669"/>
      <c r="C38" s="669"/>
      <c r="D38" s="696"/>
      <c r="E38" s="695"/>
      <c r="F38" s="696"/>
      <c r="G38" s="696"/>
      <c r="H38" s="696"/>
      <c r="I38" s="696"/>
      <c r="J38" s="696"/>
      <c r="K38" s="696"/>
      <c r="L38" s="696" t="s">
        <v>1107</v>
      </c>
      <c r="M38" s="696"/>
      <c r="N38" s="696"/>
      <c r="O38" s="588"/>
      <c r="P38" s="588"/>
      <c r="Q38" s="588"/>
      <c r="R38" s="588"/>
    </row>
    <row r="39" spans="1:19" x14ac:dyDescent="0.25">
      <c r="A39" s="669"/>
      <c r="B39" s="669"/>
      <c r="C39" s="669"/>
      <c r="D39" s="669"/>
      <c r="E39" s="696"/>
      <c r="F39" s="1086" t="s">
        <v>1108</v>
      </c>
      <c r="G39" s="1086"/>
      <c r="H39" s="1086"/>
      <c r="I39" s="1086"/>
      <c r="J39" s="1086"/>
      <c r="K39" s="1086"/>
      <c r="L39" s="1086"/>
      <c r="M39" s="1086"/>
      <c r="N39" s="1086"/>
      <c r="O39" s="567"/>
      <c r="P39" s="567"/>
      <c r="Q39" s="684"/>
      <c r="R39" s="684"/>
      <c r="S39" s="684"/>
    </row>
    <row r="40" spans="1:19" x14ac:dyDescent="0.25">
      <c r="A40" s="669"/>
      <c r="B40" s="669"/>
      <c r="C40" s="669"/>
      <c r="D40" s="669"/>
      <c r="E40" s="1086" t="s">
        <v>1113</v>
      </c>
      <c r="F40" s="1086"/>
      <c r="G40" s="1086"/>
      <c r="H40" s="1086"/>
      <c r="I40" s="1086"/>
      <c r="J40" s="1086"/>
      <c r="K40" s="1086"/>
      <c r="L40" s="1086"/>
      <c r="M40" s="1086"/>
      <c r="N40" s="1086"/>
      <c r="O40" s="567"/>
      <c r="P40" s="567"/>
      <c r="Q40" s="684"/>
      <c r="R40" s="684"/>
      <c r="S40" s="684"/>
    </row>
    <row r="41" spans="1:19" s="15" customFormat="1" ht="12.75" x14ac:dyDescent="0.2">
      <c r="A41" s="696"/>
      <c r="B41" s="696"/>
      <c r="C41" s="669"/>
      <c r="D41" s="669"/>
      <c r="E41" s="695"/>
      <c r="F41" s="696"/>
      <c r="G41" s="696"/>
      <c r="H41" s="696"/>
      <c r="I41" s="696"/>
      <c r="J41" s="696"/>
      <c r="K41" s="696"/>
      <c r="L41" s="696" t="s">
        <v>1115</v>
      </c>
      <c r="M41" s="696"/>
      <c r="N41" s="696"/>
      <c r="O41" s="567"/>
      <c r="P41" s="567"/>
      <c r="Q41" s="76"/>
      <c r="R41" s="76"/>
      <c r="S41" s="76"/>
    </row>
  </sheetData>
  <mergeCells count="13">
    <mergeCell ref="Q1:R1"/>
    <mergeCell ref="A35:B35"/>
    <mergeCell ref="B4:T4"/>
    <mergeCell ref="A8:A9"/>
    <mergeCell ref="B8:B9"/>
    <mergeCell ref="G1:M1"/>
    <mergeCell ref="E2:O2"/>
    <mergeCell ref="O8:R8"/>
    <mergeCell ref="C8:F8"/>
    <mergeCell ref="K8:N8"/>
    <mergeCell ref="G8:J8"/>
    <mergeCell ref="F39:N39"/>
    <mergeCell ref="E40:N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43"/>
  <sheetViews>
    <sheetView view="pageBreakPreview" topLeftCell="A15" zoomScale="70" zoomScaleNormal="70" zoomScaleSheetLayoutView="70" workbookViewId="0">
      <selection activeCell="H45" sqref="H45"/>
    </sheetView>
  </sheetViews>
  <sheetFormatPr defaultRowHeight="15" x14ac:dyDescent="0.25"/>
  <cols>
    <col min="1" max="1" width="7.28515625" style="68" customWidth="1"/>
    <col min="2" max="2" width="17.42578125" style="68" customWidth="1"/>
    <col min="3" max="3" width="15.42578125" style="68" customWidth="1"/>
    <col min="4" max="4" width="14.85546875" style="68" customWidth="1"/>
    <col min="5" max="5" width="11.85546875" style="68" customWidth="1"/>
    <col min="6" max="6" width="12.140625" style="68" customWidth="1"/>
    <col min="7" max="7" width="12.7109375" style="68" customWidth="1"/>
    <col min="8" max="9" width="11" style="68" customWidth="1"/>
    <col min="10" max="10" width="14.140625" style="68" customWidth="1"/>
    <col min="11" max="11" width="12.28515625" style="68" customWidth="1"/>
    <col min="12" max="12" width="13.140625" style="68" customWidth="1"/>
    <col min="13" max="13" width="12" style="68" customWidth="1"/>
    <col min="14" max="14" width="11.42578125" style="68" customWidth="1"/>
    <col min="15" max="15" width="12.7109375" style="68" customWidth="1"/>
    <col min="16" max="16" width="13.28515625" style="68" customWidth="1"/>
    <col min="17" max="17" width="12.28515625" style="68" customWidth="1"/>
    <col min="18" max="18" width="12.5703125" style="68" customWidth="1"/>
    <col min="19" max="19" width="13.42578125" style="68" customWidth="1"/>
    <col min="20" max="20" width="12.28515625" style="68" customWidth="1"/>
    <col min="21" max="16384" width="9.140625" style="68"/>
  </cols>
  <sheetData>
    <row r="1" spans="1:21" s="15" customFormat="1" ht="15.75" x14ac:dyDescent="0.25">
      <c r="C1" s="41"/>
      <c r="D1" s="41"/>
      <c r="E1" s="41"/>
      <c r="F1" s="41"/>
      <c r="G1" s="41"/>
      <c r="H1" s="41"/>
      <c r="I1" s="100" t="s">
        <v>0</v>
      </c>
      <c r="J1" s="41"/>
      <c r="Q1" s="924" t="s">
        <v>532</v>
      </c>
      <c r="R1" s="924"/>
    </row>
    <row r="2" spans="1:21" s="15" customFormat="1" ht="20.25" x14ac:dyDescent="0.3">
      <c r="G2" s="789" t="s">
        <v>694</v>
      </c>
      <c r="H2" s="789"/>
      <c r="I2" s="789"/>
      <c r="J2" s="789"/>
      <c r="K2" s="789"/>
      <c r="L2" s="789"/>
      <c r="M2" s="789"/>
      <c r="N2" s="40"/>
      <c r="O2" s="40"/>
      <c r="P2" s="40"/>
      <c r="Q2" s="40"/>
    </row>
    <row r="3" spans="1:21" s="15" customFormat="1" ht="20.25" x14ac:dyDescent="0.3">
      <c r="G3" s="120"/>
      <c r="H3" s="120"/>
      <c r="I3" s="120"/>
      <c r="J3" s="120"/>
      <c r="K3" s="120"/>
      <c r="L3" s="120"/>
      <c r="M3" s="120"/>
      <c r="N3" s="40"/>
      <c r="O3" s="40"/>
      <c r="P3" s="40"/>
      <c r="Q3" s="40"/>
    </row>
    <row r="4" spans="1:21" ht="18" x14ac:dyDescent="0.25">
      <c r="B4" s="1113" t="s">
        <v>706</v>
      </c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3"/>
    </row>
    <row r="5" spans="1:21" ht="15.75" x14ac:dyDescent="0.25">
      <c r="C5" s="69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1" x14ac:dyDescent="0.25">
      <c r="A6" s="557" t="s">
        <v>1098</v>
      </c>
    </row>
    <row r="7" spans="1:21" x14ac:dyDescent="0.25">
      <c r="B7" s="71"/>
      <c r="Q7" s="108" t="s">
        <v>132</v>
      </c>
    </row>
    <row r="8" spans="1:21" s="72" customFormat="1" ht="32.450000000000003" customHeight="1" x14ac:dyDescent="0.25">
      <c r="A8" s="775" t="s">
        <v>1</v>
      </c>
      <c r="B8" s="1109" t="s">
        <v>2</v>
      </c>
      <c r="C8" s="1104" t="s">
        <v>445</v>
      </c>
      <c r="D8" s="1104"/>
      <c r="E8" s="1104"/>
      <c r="F8" s="1104"/>
      <c r="G8" s="1104" t="s">
        <v>446</v>
      </c>
      <c r="H8" s="1104"/>
      <c r="I8" s="1104"/>
      <c r="J8" s="1104"/>
      <c r="K8" s="1104" t="s">
        <v>447</v>
      </c>
      <c r="L8" s="1104"/>
      <c r="M8" s="1104"/>
      <c r="N8" s="1104"/>
      <c r="O8" s="1104" t="s">
        <v>448</v>
      </c>
      <c r="P8" s="1104"/>
      <c r="Q8" s="1104"/>
      <c r="R8" s="1109"/>
      <c r="S8" s="1114" t="s">
        <v>154</v>
      </c>
    </row>
    <row r="9" spans="1:21" s="73" customFormat="1" ht="75" customHeight="1" x14ac:dyDescent="0.25">
      <c r="A9" s="775"/>
      <c r="B9" s="1110"/>
      <c r="C9" s="78" t="s">
        <v>151</v>
      </c>
      <c r="D9" s="125" t="s">
        <v>153</v>
      </c>
      <c r="E9" s="78" t="s">
        <v>131</v>
      </c>
      <c r="F9" s="125" t="s">
        <v>152</v>
      </c>
      <c r="G9" s="78" t="s">
        <v>232</v>
      </c>
      <c r="H9" s="125" t="s">
        <v>153</v>
      </c>
      <c r="I9" s="78" t="s">
        <v>131</v>
      </c>
      <c r="J9" s="125" t="s">
        <v>152</v>
      </c>
      <c r="K9" s="78" t="s">
        <v>232</v>
      </c>
      <c r="L9" s="125" t="s">
        <v>153</v>
      </c>
      <c r="M9" s="78" t="s">
        <v>131</v>
      </c>
      <c r="N9" s="125" t="s">
        <v>152</v>
      </c>
      <c r="O9" s="78" t="s">
        <v>232</v>
      </c>
      <c r="P9" s="125" t="s">
        <v>153</v>
      </c>
      <c r="Q9" s="78" t="s">
        <v>131</v>
      </c>
      <c r="R9" s="126" t="s">
        <v>152</v>
      </c>
      <c r="S9" s="1114"/>
    </row>
    <row r="10" spans="1:21" s="73" customFormat="1" ht="16.149999999999999" customHeight="1" x14ac:dyDescent="0.25">
      <c r="A10" s="5">
        <v>1</v>
      </c>
      <c r="B10" s="7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7">
        <v>14</v>
      </c>
      <c r="O10" s="67">
        <v>15</v>
      </c>
      <c r="P10" s="67">
        <v>16</v>
      </c>
      <c r="Q10" s="67">
        <v>17</v>
      </c>
      <c r="R10" s="117">
        <v>18</v>
      </c>
      <c r="S10" s="124"/>
    </row>
    <row r="11" spans="1:21" s="73" customFormat="1" ht="16.149999999999999" customHeight="1" x14ac:dyDescent="0.25">
      <c r="A11" s="5">
        <v>1</v>
      </c>
      <c r="B11" s="351" t="s">
        <v>875</v>
      </c>
      <c r="C11" s="1115" t="s">
        <v>1102</v>
      </c>
      <c r="D11" s="1116"/>
      <c r="E11" s="1116"/>
      <c r="F11" s="1116"/>
      <c r="G11" s="1116"/>
      <c r="H11" s="1116"/>
      <c r="I11" s="1116"/>
      <c r="J11" s="1116"/>
      <c r="K11" s="1116"/>
      <c r="L11" s="1116"/>
      <c r="M11" s="1116"/>
      <c r="N11" s="1116"/>
      <c r="O11" s="1116"/>
      <c r="P11" s="1116"/>
      <c r="Q11" s="1116"/>
      <c r="R11" s="1116"/>
      <c r="S11" s="1117"/>
      <c r="T11" s="502">
        <f>H11+L11+P11</f>
        <v>0</v>
      </c>
      <c r="U11" s="502"/>
    </row>
    <row r="12" spans="1:21" s="73" customFormat="1" ht="16.149999999999999" customHeight="1" x14ac:dyDescent="0.25">
      <c r="A12" s="5">
        <v>2</v>
      </c>
      <c r="B12" s="351" t="s">
        <v>876</v>
      </c>
      <c r="C12" s="1118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20"/>
      <c r="T12" s="502">
        <f t="shared" ref="T12:T34" si="0">H12+L12+P12</f>
        <v>0</v>
      </c>
      <c r="U12" s="502"/>
    </row>
    <row r="13" spans="1:21" s="73" customFormat="1" ht="16.149999999999999" customHeight="1" x14ac:dyDescent="0.25">
      <c r="A13" s="5">
        <v>3</v>
      </c>
      <c r="B13" s="351" t="s">
        <v>877</v>
      </c>
      <c r="C13" s="1118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20"/>
      <c r="T13" s="502">
        <f t="shared" si="0"/>
        <v>0</v>
      </c>
      <c r="U13" s="502"/>
    </row>
    <row r="14" spans="1:21" s="73" customFormat="1" ht="16.149999999999999" customHeight="1" x14ac:dyDescent="0.25">
      <c r="A14" s="5">
        <v>4</v>
      </c>
      <c r="B14" s="351" t="s">
        <v>878</v>
      </c>
      <c r="C14" s="1118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20"/>
      <c r="T14" s="502">
        <f t="shared" si="0"/>
        <v>0</v>
      </c>
      <c r="U14" s="502"/>
    </row>
    <row r="15" spans="1:21" s="73" customFormat="1" ht="16.149999999999999" customHeight="1" x14ac:dyDescent="0.25">
      <c r="A15" s="5">
        <v>5</v>
      </c>
      <c r="B15" s="351" t="s">
        <v>879</v>
      </c>
      <c r="C15" s="1118"/>
      <c r="D15" s="1119"/>
      <c r="E15" s="1119"/>
      <c r="F15" s="1119"/>
      <c r="G15" s="1119"/>
      <c r="H15" s="1119"/>
      <c r="I15" s="1119"/>
      <c r="J15" s="1119"/>
      <c r="K15" s="1119"/>
      <c r="L15" s="1119"/>
      <c r="M15" s="1119"/>
      <c r="N15" s="1119"/>
      <c r="O15" s="1119"/>
      <c r="P15" s="1119"/>
      <c r="Q15" s="1119"/>
      <c r="R15" s="1119"/>
      <c r="S15" s="1120"/>
      <c r="T15" s="502">
        <f t="shared" si="0"/>
        <v>0</v>
      </c>
      <c r="U15" s="502"/>
    </row>
    <row r="16" spans="1:21" s="73" customFormat="1" ht="16.149999999999999" customHeight="1" x14ac:dyDescent="0.25">
      <c r="A16" s="5">
        <v>6</v>
      </c>
      <c r="B16" s="351" t="s">
        <v>880</v>
      </c>
      <c r="C16" s="1118"/>
      <c r="D16" s="1119"/>
      <c r="E16" s="1119"/>
      <c r="F16" s="1119"/>
      <c r="G16" s="1119"/>
      <c r="H16" s="1119"/>
      <c r="I16" s="1119"/>
      <c r="J16" s="1119"/>
      <c r="K16" s="1119"/>
      <c r="L16" s="1119"/>
      <c r="M16" s="1119"/>
      <c r="N16" s="1119"/>
      <c r="O16" s="1119"/>
      <c r="P16" s="1119"/>
      <c r="Q16" s="1119"/>
      <c r="R16" s="1119"/>
      <c r="S16" s="1120"/>
      <c r="T16" s="502">
        <f t="shared" si="0"/>
        <v>0</v>
      </c>
      <c r="U16" s="502"/>
    </row>
    <row r="17" spans="1:45" s="73" customFormat="1" ht="16.149999999999999" customHeight="1" x14ac:dyDescent="0.25">
      <c r="A17" s="5">
        <v>7</v>
      </c>
      <c r="B17" s="351" t="s">
        <v>923</v>
      </c>
      <c r="C17" s="1118"/>
      <c r="D17" s="1119"/>
      <c r="E17" s="1119"/>
      <c r="F17" s="1119"/>
      <c r="G17" s="1119"/>
      <c r="H17" s="1119"/>
      <c r="I17" s="1119"/>
      <c r="J17" s="1119"/>
      <c r="K17" s="1119"/>
      <c r="L17" s="1119"/>
      <c r="M17" s="1119"/>
      <c r="N17" s="1119"/>
      <c r="O17" s="1119"/>
      <c r="P17" s="1119"/>
      <c r="Q17" s="1119"/>
      <c r="R17" s="1119"/>
      <c r="S17" s="1120"/>
      <c r="T17" s="502">
        <f t="shared" si="0"/>
        <v>0</v>
      </c>
      <c r="U17" s="502"/>
    </row>
    <row r="18" spans="1:45" s="73" customFormat="1" ht="16.149999999999999" customHeight="1" x14ac:dyDescent="0.25">
      <c r="A18" s="5">
        <v>8</v>
      </c>
      <c r="B18" s="351" t="s">
        <v>882</v>
      </c>
      <c r="C18" s="1118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19"/>
      <c r="R18" s="1119"/>
      <c r="S18" s="1120"/>
      <c r="T18" s="502">
        <f t="shared" si="0"/>
        <v>0</v>
      </c>
      <c r="U18" s="502"/>
    </row>
    <row r="19" spans="1:45" s="73" customFormat="1" ht="16.149999999999999" customHeight="1" x14ac:dyDescent="0.25">
      <c r="A19" s="5">
        <v>9</v>
      </c>
      <c r="B19" s="351" t="s">
        <v>883</v>
      </c>
      <c r="C19" s="1118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  <c r="R19" s="1119"/>
      <c r="S19" s="1120"/>
      <c r="T19" s="502">
        <f t="shared" si="0"/>
        <v>0</v>
      </c>
      <c r="U19" s="502"/>
    </row>
    <row r="20" spans="1:45" s="73" customFormat="1" ht="16.149999999999999" customHeight="1" x14ac:dyDescent="0.25">
      <c r="A20" s="5">
        <v>10</v>
      </c>
      <c r="B20" s="351" t="s">
        <v>884</v>
      </c>
      <c r="C20" s="1118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20"/>
      <c r="T20" s="502">
        <f t="shared" si="0"/>
        <v>0</v>
      </c>
      <c r="U20" s="502"/>
    </row>
    <row r="21" spans="1:45" s="73" customFormat="1" ht="16.149999999999999" customHeight="1" x14ac:dyDescent="0.25">
      <c r="A21" s="5">
        <v>11</v>
      </c>
      <c r="B21" s="351" t="s">
        <v>885</v>
      </c>
      <c r="C21" s="1118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119"/>
      <c r="O21" s="1119"/>
      <c r="P21" s="1119"/>
      <c r="Q21" s="1119"/>
      <c r="R21" s="1119"/>
      <c r="S21" s="1120"/>
      <c r="T21" s="502">
        <f t="shared" si="0"/>
        <v>0</v>
      </c>
      <c r="U21" s="502"/>
    </row>
    <row r="22" spans="1:45" s="73" customFormat="1" ht="16.149999999999999" customHeight="1" x14ac:dyDescent="0.25">
      <c r="A22" s="5">
        <v>12</v>
      </c>
      <c r="B22" s="351" t="s">
        <v>886</v>
      </c>
      <c r="C22" s="1118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20"/>
      <c r="T22" s="502">
        <f t="shared" si="0"/>
        <v>0</v>
      </c>
      <c r="U22" s="502"/>
    </row>
    <row r="23" spans="1:45" s="73" customFormat="1" ht="16.149999999999999" customHeight="1" x14ac:dyDescent="0.25">
      <c r="A23" s="5">
        <v>13</v>
      </c>
      <c r="B23" s="351" t="s">
        <v>887</v>
      </c>
      <c r="C23" s="1118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20"/>
      <c r="T23" s="502">
        <f t="shared" si="0"/>
        <v>0</v>
      </c>
      <c r="U23" s="502"/>
    </row>
    <row r="24" spans="1:45" s="73" customFormat="1" ht="16.149999999999999" customHeight="1" x14ac:dyDescent="0.25">
      <c r="A24" s="5">
        <v>14</v>
      </c>
      <c r="B24" s="351" t="s">
        <v>888</v>
      </c>
      <c r="C24" s="1118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  <c r="Q24" s="1119"/>
      <c r="R24" s="1119"/>
      <c r="S24" s="1120"/>
      <c r="T24" s="502">
        <f t="shared" si="0"/>
        <v>0</v>
      </c>
      <c r="U24" s="502"/>
    </row>
    <row r="25" spans="1:45" s="73" customFormat="1" ht="16.149999999999999" customHeight="1" x14ac:dyDescent="0.25">
      <c r="A25" s="5">
        <v>15</v>
      </c>
      <c r="B25" s="351" t="s">
        <v>924</v>
      </c>
      <c r="C25" s="1118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20"/>
      <c r="T25" s="502">
        <f t="shared" si="0"/>
        <v>0</v>
      </c>
      <c r="U25" s="502"/>
    </row>
    <row r="26" spans="1:45" s="73" customFormat="1" ht="16.149999999999999" customHeight="1" x14ac:dyDescent="0.25">
      <c r="A26" s="5">
        <v>16</v>
      </c>
      <c r="B26" s="351" t="s">
        <v>890</v>
      </c>
      <c r="C26" s="1118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1119"/>
      <c r="S26" s="1120"/>
      <c r="T26" s="502">
        <f t="shared" si="0"/>
        <v>0</v>
      </c>
      <c r="U26" s="502"/>
    </row>
    <row r="27" spans="1:45" x14ac:dyDescent="0.25">
      <c r="A27" s="5">
        <v>17</v>
      </c>
      <c r="B27" s="351" t="s">
        <v>891</v>
      </c>
      <c r="C27" s="1118"/>
      <c r="D27" s="1119"/>
      <c r="E27" s="1119"/>
      <c r="F27" s="1119"/>
      <c r="G27" s="1119"/>
      <c r="H27" s="1119"/>
      <c r="I27" s="1119"/>
      <c r="J27" s="1119"/>
      <c r="K27" s="1119"/>
      <c r="L27" s="1119"/>
      <c r="M27" s="1119"/>
      <c r="N27" s="1119"/>
      <c r="O27" s="1119"/>
      <c r="P27" s="1119"/>
      <c r="Q27" s="1119"/>
      <c r="R27" s="1119"/>
      <c r="S27" s="1120"/>
      <c r="T27" s="502">
        <f t="shared" si="0"/>
        <v>0</v>
      </c>
      <c r="U27" s="502"/>
    </row>
    <row r="28" spans="1:45" x14ac:dyDescent="0.25">
      <c r="A28" s="5">
        <v>18</v>
      </c>
      <c r="B28" s="351" t="s">
        <v>892</v>
      </c>
      <c r="C28" s="1118"/>
      <c r="D28" s="1119"/>
      <c r="E28" s="1119"/>
      <c r="F28" s="1119"/>
      <c r="G28" s="1119"/>
      <c r="H28" s="1119"/>
      <c r="I28" s="1119"/>
      <c r="J28" s="1119"/>
      <c r="K28" s="1119"/>
      <c r="L28" s="1119"/>
      <c r="M28" s="1119"/>
      <c r="N28" s="1119"/>
      <c r="O28" s="1119"/>
      <c r="P28" s="1119"/>
      <c r="Q28" s="1119"/>
      <c r="R28" s="1119"/>
      <c r="S28" s="1120"/>
      <c r="T28" s="502">
        <f t="shared" si="0"/>
        <v>0</v>
      </c>
      <c r="U28" s="502"/>
    </row>
    <row r="29" spans="1:45" x14ac:dyDescent="0.25">
      <c r="A29" s="5">
        <v>19</v>
      </c>
      <c r="B29" s="351" t="s">
        <v>893</v>
      </c>
      <c r="C29" s="1118"/>
      <c r="D29" s="1119"/>
      <c r="E29" s="1119"/>
      <c r="F29" s="1119"/>
      <c r="G29" s="1119"/>
      <c r="H29" s="1119"/>
      <c r="I29" s="1119"/>
      <c r="J29" s="1119"/>
      <c r="K29" s="1119"/>
      <c r="L29" s="1119"/>
      <c r="M29" s="1119"/>
      <c r="N29" s="1119"/>
      <c r="O29" s="1119"/>
      <c r="P29" s="1119"/>
      <c r="Q29" s="1119"/>
      <c r="R29" s="1119"/>
      <c r="S29" s="1120"/>
      <c r="T29" s="502">
        <f t="shared" si="0"/>
        <v>0</v>
      </c>
      <c r="U29" s="502"/>
    </row>
    <row r="30" spans="1:45" x14ac:dyDescent="0.25">
      <c r="A30" s="5">
        <v>20</v>
      </c>
      <c r="B30" s="351" t="s">
        <v>894</v>
      </c>
      <c r="C30" s="1118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20"/>
      <c r="T30" s="502">
        <f t="shared" si="0"/>
        <v>0</v>
      </c>
      <c r="U30" s="502"/>
    </row>
    <row r="31" spans="1:45" s="74" customFormat="1" x14ac:dyDescent="0.25">
      <c r="A31" s="5">
        <v>21</v>
      </c>
      <c r="B31" s="351" t="s">
        <v>925</v>
      </c>
      <c r="C31" s="1118"/>
      <c r="D31" s="1119"/>
      <c r="E31" s="1119"/>
      <c r="F31" s="1119"/>
      <c r="G31" s="1119"/>
      <c r="H31" s="1119"/>
      <c r="I31" s="1119"/>
      <c r="J31" s="1119"/>
      <c r="K31" s="1119"/>
      <c r="L31" s="1119"/>
      <c r="M31" s="1119"/>
      <c r="N31" s="1119"/>
      <c r="O31" s="1119"/>
      <c r="P31" s="1119"/>
      <c r="Q31" s="1119"/>
      <c r="R31" s="1119"/>
      <c r="S31" s="1120"/>
      <c r="T31" s="502">
        <f t="shared" si="0"/>
        <v>0</v>
      </c>
      <c r="U31" s="502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</row>
    <row r="32" spans="1:45" x14ac:dyDescent="0.25">
      <c r="A32" s="5">
        <v>22</v>
      </c>
      <c r="B32" s="351" t="s">
        <v>896</v>
      </c>
      <c r="C32" s="1118"/>
      <c r="D32" s="1119"/>
      <c r="E32" s="1119"/>
      <c r="F32" s="1119"/>
      <c r="G32" s="1119"/>
      <c r="H32" s="1119"/>
      <c r="I32" s="1119"/>
      <c r="J32" s="1119"/>
      <c r="K32" s="1119"/>
      <c r="L32" s="1119"/>
      <c r="M32" s="1119"/>
      <c r="N32" s="1119"/>
      <c r="O32" s="1119"/>
      <c r="P32" s="1119"/>
      <c r="Q32" s="1119"/>
      <c r="R32" s="1119"/>
      <c r="S32" s="1120"/>
      <c r="T32" s="502">
        <f t="shared" si="0"/>
        <v>0</v>
      </c>
      <c r="U32" s="502"/>
    </row>
    <row r="33" spans="1:24" x14ac:dyDescent="0.25">
      <c r="A33" s="5">
        <v>23</v>
      </c>
      <c r="B33" s="351" t="s">
        <v>926</v>
      </c>
      <c r="C33" s="1118"/>
      <c r="D33" s="1119"/>
      <c r="E33" s="1119"/>
      <c r="F33" s="1119"/>
      <c r="G33" s="1119"/>
      <c r="H33" s="1119"/>
      <c r="I33" s="1119"/>
      <c r="J33" s="1119"/>
      <c r="K33" s="1119"/>
      <c r="L33" s="1119"/>
      <c r="M33" s="1119"/>
      <c r="N33" s="1119"/>
      <c r="O33" s="1119"/>
      <c r="P33" s="1119"/>
      <c r="Q33" s="1119"/>
      <c r="R33" s="1119"/>
      <c r="S33" s="1120"/>
      <c r="T33" s="502">
        <f t="shared" si="0"/>
        <v>0</v>
      </c>
      <c r="U33" s="502"/>
    </row>
    <row r="34" spans="1:24" x14ac:dyDescent="0.25">
      <c r="A34" s="5">
        <v>24</v>
      </c>
      <c r="B34" s="351" t="s">
        <v>898</v>
      </c>
      <c r="C34" s="1118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20"/>
      <c r="T34" s="502">
        <f t="shared" si="0"/>
        <v>0</v>
      </c>
      <c r="U34" s="502"/>
    </row>
    <row r="35" spans="1:24" s="435" customFormat="1" x14ac:dyDescent="0.25">
      <c r="A35" s="1111" t="s">
        <v>15</v>
      </c>
      <c r="B35" s="1112"/>
      <c r="C35" s="1121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3"/>
      <c r="W35" s="511">
        <f>H35+L35+P35</f>
        <v>0</v>
      </c>
      <c r="X35" s="435">
        <f>60/100*S35</f>
        <v>0</v>
      </c>
    </row>
    <row r="36" spans="1:24" x14ac:dyDescent="0.25">
      <c r="A36" s="247" t="s">
        <v>482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X36" s="68">
        <f>40/100*S35</f>
        <v>0</v>
      </c>
    </row>
    <row r="37" spans="1:24" s="15" customFormat="1" ht="12.75" x14ac:dyDescent="0.2">
      <c r="A37" s="14"/>
      <c r="G37" s="14"/>
      <c r="H37" s="14"/>
      <c r="K37" s="14"/>
      <c r="L37" s="14"/>
      <c r="M37" s="14"/>
      <c r="N37" s="14"/>
      <c r="O37" s="14"/>
      <c r="P37" s="14"/>
      <c r="Q37" s="14"/>
      <c r="R37" s="76"/>
      <c r="S37" s="76"/>
    </row>
    <row r="38" spans="1:24" s="15" customFormat="1" ht="12.75" customHeight="1" x14ac:dyDescent="0.2">
      <c r="J38" s="14"/>
      <c r="K38" s="33"/>
      <c r="L38" s="33"/>
      <c r="M38" s="33"/>
      <c r="N38" s="33"/>
      <c r="O38" s="33"/>
      <c r="P38" s="33"/>
      <c r="Q38" s="33"/>
      <c r="R38" s="33"/>
      <c r="S38" s="33"/>
    </row>
    <row r="39" spans="1:24" s="15" customFormat="1" ht="12.75" customHeight="1" x14ac:dyDescent="0.2"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24" s="15" customFormat="1" ht="12.75" x14ac:dyDescent="0.2">
      <c r="A40" s="699" t="s">
        <v>11</v>
      </c>
      <c r="B40" s="669"/>
      <c r="C40" s="669"/>
      <c r="D40" s="699"/>
      <c r="E40" s="698"/>
      <c r="F40" s="699"/>
      <c r="G40" s="699"/>
      <c r="H40" s="699"/>
      <c r="I40" s="699"/>
      <c r="J40" s="699"/>
      <c r="K40" s="699"/>
      <c r="L40" s="699" t="s">
        <v>1107</v>
      </c>
      <c r="M40" s="699"/>
      <c r="N40" s="699"/>
      <c r="O40" s="14"/>
      <c r="P40" s="14"/>
      <c r="Q40" s="33"/>
      <c r="R40" s="33"/>
      <c r="S40" s="33"/>
    </row>
    <row r="41" spans="1:24" ht="15" customHeight="1" x14ac:dyDescent="0.25">
      <c r="A41" s="669"/>
      <c r="B41" s="669"/>
      <c r="C41" s="669"/>
      <c r="D41" s="669"/>
      <c r="E41" s="699"/>
      <c r="F41" s="1086" t="s">
        <v>1108</v>
      </c>
      <c r="G41" s="1086"/>
      <c r="H41" s="1086"/>
      <c r="I41" s="1086"/>
      <c r="J41" s="1086"/>
      <c r="K41" s="1086"/>
      <c r="L41" s="1086"/>
      <c r="M41" s="1086"/>
      <c r="N41" s="1086"/>
      <c r="O41" s="579"/>
      <c r="P41" s="567"/>
      <c r="Q41" s="567"/>
      <c r="R41" s="567"/>
      <c r="S41" s="684"/>
      <c r="T41" s="684"/>
      <c r="U41" s="684"/>
    </row>
    <row r="42" spans="1:24" x14ac:dyDescent="0.25">
      <c r="A42" s="669"/>
      <c r="B42" s="669"/>
      <c r="C42" s="669"/>
      <c r="D42" s="669"/>
      <c r="E42" s="1086" t="s">
        <v>1113</v>
      </c>
      <c r="F42" s="1086"/>
      <c r="G42" s="1086"/>
      <c r="H42" s="1086"/>
      <c r="I42" s="1086"/>
      <c r="J42" s="1086"/>
      <c r="K42" s="1086"/>
      <c r="L42" s="1086"/>
      <c r="M42" s="1086"/>
      <c r="N42" s="1086"/>
      <c r="O42" s="579"/>
      <c r="P42" s="567"/>
      <c r="Q42" s="567"/>
      <c r="R42" s="567"/>
      <c r="S42" s="684"/>
      <c r="T42" s="684"/>
      <c r="U42" s="684"/>
    </row>
    <row r="43" spans="1:24" x14ac:dyDescent="0.25">
      <c r="A43" s="699"/>
      <c r="B43" s="699"/>
      <c r="C43" s="669"/>
      <c r="D43" s="669"/>
      <c r="E43" s="698"/>
      <c r="F43" s="699"/>
      <c r="G43" s="699"/>
      <c r="H43" s="699"/>
      <c r="I43" s="699"/>
      <c r="J43" s="699"/>
      <c r="K43" s="699"/>
      <c r="L43" s="699" t="s">
        <v>1115</v>
      </c>
      <c r="M43" s="699"/>
      <c r="N43" s="699"/>
      <c r="O43" s="583"/>
      <c r="P43" s="567"/>
      <c r="Q43" s="567"/>
      <c r="R43" s="567"/>
      <c r="S43" s="684"/>
      <c r="T43" s="684"/>
      <c r="U43" s="684"/>
    </row>
  </sheetData>
  <mergeCells count="14">
    <mergeCell ref="Q1:R1"/>
    <mergeCell ref="B4:T4"/>
    <mergeCell ref="G2:M2"/>
    <mergeCell ref="S8:S9"/>
    <mergeCell ref="O8:R8"/>
    <mergeCell ref="C11:S35"/>
    <mergeCell ref="B8:B9"/>
    <mergeCell ref="C8:F8"/>
    <mergeCell ref="G8:J8"/>
    <mergeCell ref="K8:N8"/>
    <mergeCell ref="F41:N41"/>
    <mergeCell ref="E42:N42"/>
    <mergeCell ref="A35:B35"/>
    <mergeCell ref="A8:A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5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view="pageBreakPreview" topLeftCell="A16" zoomScaleNormal="80" zoomScaleSheetLayoutView="100" workbookViewId="0">
      <selection activeCell="E36" sqref="E36"/>
    </sheetView>
  </sheetViews>
  <sheetFormatPr defaultRowHeight="15" x14ac:dyDescent="0.25"/>
  <cols>
    <col min="1" max="1" width="9.140625" style="68"/>
    <col min="2" max="2" width="17.42578125" style="68" customWidth="1"/>
    <col min="3" max="3" width="17.5703125" style="68" customWidth="1"/>
    <col min="4" max="4" width="19.7109375" style="68" customWidth="1"/>
    <col min="5" max="5" width="16.7109375" style="68" customWidth="1"/>
    <col min="6" max="6" width="16.28515625" style="68" customWidth="1"/>
    <col min="7" max="7" width="15.7109375" style="68" customWidth="1"/>
    <col min="8" max="8" width="12.28515625" style="68" customWidth="1"/>
    <col min="9" max="16384" width="9.140625" style="68"/>
  </cols>
  <sheetData>
    <row r="1" spans="1:13" s="15" customFormat="1" x14ac:dyDescent="0.2">
      <c r="C1" s="41"/>
      <c r="D1" s="41"/>
      <c r="E1" s="41"/>
      <c r="F1" s="924" t="s">
        <v>821</v>
      </c>
      <c r="G1" s="924"/>
    </row>
    <row r="2" spans="1:13" s="15" customFormat="1" ht="30.75" customHeight="1" x14ac:dyDescent="0.3">
      <c r="B2" s="789" t="s">
        <v>694</v>
      </c>
      <c r="C2" s="789"/>
      <c r="D2" s="789"/>
      <c r="E2" s="789"/>
      <c r="F2" s="789"/>
      <c r="G2" s="40"/>
      <c r="H2" s="40"/>
      <c r="I2" s="40"/>
    </row>
    <row r="3" spans="1:13" s="15" customFormat="1" ht="20.25" x14ac:dyDescent="0.3">
      <c r="G3" s="120"/>
    </row>
    <row r="4" spans="1:13" ht="18" x14ac:dyDescent="0.25">
      <c r="B4" s="1108" t="s">
        <v>827</v>
      </c>
      <c r="C4" s="1108"/>
      <c r="D4" s="1108"/>
      <c r="E4" s="1108"/>
      <c r="F4" s="1108"/>
      <c r="G4" s="1108"/>
      <c r="H4" s="1108"/>
    </row>
    <row r="5" spans="1:13" ht="15.75" x14ac:dyDescent="0.25">
      <c r="C5" s="69"/>
      <c r="D5" s="70"/>
      <c r="E5" s="69"/>
      <c r="F5" s="69"/>
      <c r="G5" s="69"/>
      <c r="H5" s="69"/>
    </row>
    <row r="6" spans="1:13" x14ac:dyDescent="0.25">
      <c r="A6" s="557" t="s">
        <v>1098</v>
      </c>
    </row>
    <row r="7" spans="1:13" x14ac:dyDescent="0.25">
      <c r="B7" s="277"/>
    </row>
    <row r="8" spans="1:13" s="73" customFormat="1" ht="30.75" customHeight="1" x14ac:dyDescent="0.25">
      <c r="A8" s="1125" t="s">
        <v>1</v>
      </c>
      <c r="B8" s="1124" t="s">
        <v>2</v>
      </c>
      <c r="C8" s="1124" t="s">
        <v>846</v>
      </c>
      <c r="D8" s="1126" t="s">
        <v>847</v>
      </c>
      <c r="E8" s="1124" t="s">
        <v>820</v>
      </c>
      <c r="F8" s="1124"/>
      <c r="G8" s="1124"/>
    </row>
    <row r="9" spans="1:13" s="73" customFormat="1" ht="48.75" customHeight="1" x14ac:dyDescent="0.25">
      <c r="A9" s="1125"/>
      <c r="B9" s="1124"/>
      <c r="C9" s="1124"/>
      <c r="D9" s="1127"/>
      <c r="E9" s="279" t="s">
        <v>828</v>
      </c>
      <c r="F9" s="279" t="s">
        <v>819</v>
      </c>
      <c r="G9" s="279" t="s">
        <v>15</v>
      </c>
    </row>
    <row r="10" spans="1:13" s="73" customFormat="1" ht="16.149999999999999" customHeight="1" x14ac:dyDescent="0.25">
      <c r="A10" s="61">
        <v>1</v>
      </c>
      <c r="B10" s="291">
        <v>2</v>
      </c>
      <c r="C10" s="291">
        <v>3</v>
      </c>
      <c r="D10" s="291">
        <v>4</v>
      </c>
      <c r="E10" s="293">
        <v>5</v>
      </c>
      <c r="F10" s="293">
        <v>6</v>
      </c>
      <c r="G10" s="293">
        <v>7</v>
      </c>
    </row>
    <row r="11" spans="1:13" s="73" customFormat="1" ht="16.149999999999999" customHeight="1" x14ac:dyDescent="0.25">
      <c r="A11" s="5">
        <v>1</v>
      </c>
      <c r="B11" s="351" t="s">
        <v>875</v>
      </c>
      <c r="C11" s="505">
        <v>596</v>
      </c>
      <c r="D11" s="505">
        <v>596</v>
      </c>
      <c r="E11" s="513">
        <f>D11*6000/100000</f>
        <v>35.76</v>
      </c>
      <c r="F11" s="513">
        <f>D11*4000/100000</f>
        <v>23.84</v>
      </c>
      <c r="G11" s="513">
        <f>SUM(E11:F11)</f>
        <v>59.599999999999994</v>
      </c>
      <c r="H11" s="508">
        <v>596</v>
      </c>
      <c r="I11" s="508">
        <v>596</v>
      </c>
      <c r="J11" s="507">
        <f>I11-H11</f>
        <v>0</v>
      </c>
      <c r="L11" s="73">
        <v>171</v>
      </c>
      <c r="M11" s="73">
        <v>171</v>
      </c>
    </row>
    <row r="12" spans="1:13" s="73" customFormat="1" ht="16.149999999999999" customHeight="1" x14ac:dyDescent="0.25">
      <c r="A12" s="5">
        <v>2</v>
      </c>
      <c r="B12" s="351" t="s">
        <v>876</v>
      </c>
      <c r="C12" s="505">
        <v>106</v>
      </c>
      <c r="D12" s="505">
        <v>106</v>
      </c>
      <c r="E12" s="513">
        <f t="shared" ref="E12:E34" si="0">D12*6000/100000</f>
        <v>6.36</v>
      </c>
      <c r="F12" s="513">
        <f t="shared" ref="F12:F34" si="1">D12*4000/100000</f>
        <v>4.24</v>
      </c>
      <c r="G12" s="513">
        <f t="shared" ref="G12:G34" si="2">SUM(E12:F12)</f>
        <v>10.600000000000001</v>
      </c>
      <c r="H12" s="508">
        <v>106</v>
      </c>
      <c r="I12" s="508">
        <v>106</v>
      </c>
      <c r="J12" s="507">
        <f t="shared" ref="J12:J34" si="3">I12-H12</f>
        <v>0</v>
      </c>
      <c r="L12" s="73">
        <v>918</v>
      </c>
      <c r="M12" s="73">
        <v>913</v>
      </c>
    </row>
    <row r="13" spans="1:13" s="73" customFormat="1" ht="16.149999999999999" customHeight="1" x14ac:dyDescent="0.25">
      <c r="A13" s="5">
        <v>3</v>
      </c>
      <c r="B13" s="351" t="s">
        <v>877</v>
      </c>
      <c r="C13" s="505">
        <v>196</v>
      </c>
      <c r="D13" s="505">
        <v>196</v>
      </c>
      <c r="E13" s="513">
        <f t="shared" si="0"/>
        <v>11.76</v>
      </c>
      <c r="F13" s="513">
        <f t="shared" si="1"/>
        <v>7.84</v>
      </c>
      <c r="G13" s="513">
        <f t="shared" si="2"/>
        <v>19.600000000000001</v>
      </c>
      <c r="H13" s="508">
        <v>196</v>
      </c>
      <c r="I13" s="508">
        <v>196</v>
      </c>
      <c r="J13" s="507">
        <f t="shared" si="3"/>
        <v>0</v>
      </c>
      <c r="L13" s="73">
        <v>86</v>
      </c>
      <c r="M13" s="73">
        <v>59</v>
      </c>
    </row>
    <row r="14" spans="1:13" s="73" customFormat="1" ht="16.149999999999999" customHeight="1" x14ac:dyDescent="0.25">
      <c r="A14" s="5">
        <v>4</v>
      </c>
      <c r="B14" s="351" t="s">
        <v>878</v>
      </c>
      <c r="C14" s="505">
        <v>456</v>
      </c>
      <c r="D14" s="505">
        <v>391</v>
      </c>
      <c r="E14" s="513">
        <f t="shared" si="0"/>
        <v>23.46</v>
      </c>
      <c r="F14" s="513">
        <f t="shared" si="1"/>
        <v>15.64</v>
      </c>
      <c r="G14" s="513">
        <f t="shared" si="2"/>
        <v>39.1</v>
      </c>
      <c r="H14" s="508">
        <v>391</v>
      </c>
      <c r="I14" s="508">
        <v>456</v>
      </c>
      <c r="J14" s="507">
        <f t="shared" si="3"/>
        <v>65</v>
      </c>
      <c r="L14" s="73">
        <v>391</v>
      </c>
      <c r="M14" s="73">
        <v>391</v>
      </c>
    </row>
    <row r="15" spans="1:13" s="73" customFormat="1" ht="16.149999999999999" customHeight="1" x14ac:dyDescent="0.25">
      <c r="A15" s="5">
        <v>5</v>
      </c>
      <c r="B15" s="351" t="s">
        <v>879</v>
      </c>
      <c r="C15" s="505">
        <v>341</v>
      </c>
      <c r="D15" s="505">
        <v>341</v>
      </c>
      <c r="E15" s="513">
        <f t="shared" si="0"/>
        <v>20.46</v>
      </c>
      <c r="F15" s="513">
        <f t="shared" si="1"/>
        <v>13.64</v>
      </c>
      <c r="G15" s="513">
        <f t="shared" si="2"/>
        <v>34.1</v>
      </c>
      <c r="H15" s="508">
        <v>341</v>
      </c>
      <c r="I15" s="508">
        <v>341</v>
      </c>
      <c r="J15" s="507">
        <f t="shared" si="3"/>
        <v>0</v>
      </c>
      <c r="L15" s="73">
        <v>968</v>
      </c>
      <c r="M15" s="73">
        <v>552</v>
      </c>
    </row>
    <row r="16" spans="1:13" s="73" customFormat="1" ht="16.149999999999999" customHeight="1" x14ac:dyDescent="0.25">
      <c r="A16" s="5">
        <v>6</v>
      </c>
      <c r="B16" s="351" t="s">
        <v>880</v>
      </c>
      <c r="C16" s="505">
        <v>729</v>
      </c>
      <c r="D16" s="505">
        <v>729</v>
      </c>
      <c r="E16" s="513">
        <f t="shared" si="0"/>
        <v>43.74</v>
      </c>
      <c r="F16" s="513">
        <f t="shared" si="1"/>
        <v>29.16</v>
      </c>
      <c r="G16" s="513">
        <f t="shared" si="2"/>
        <v>72.900000000000006</v>
      </c>
      <c r="H16" s="508">
        <v>729</v>
      </c>
      <c r="I16" s="508">
        <v>729</v>
      </c>
      <c r="J16" s="507">
        <f t="shared" si="3"/>
        <v>0</v>
      </c>
      <c r="L16" s="73">
        <v>715</v>
      </c>
      <c r="M16" s="73">
        <v>715</v>
      </c>
    </row>
    <row r="17" spans="1:33" s="73" customFormat="1" ht="16.149999999999999" customHeight="1" x14ac:dyDescent="0.25">
      <c r="A17" s="5">
        <v>7</v>
      </c>
      <c r="B17" s="351" t="s">
        <v>923</v>
      </c>
      <c r="C17" s="505">
        <v>588</v>
      </c>
      <c r="D17" s="505">
        <v>588</v>
      </c>
      <c r="E17" s="513">
        <f t="shared" si="0"/>
        <v>35.28</v>
      </c>
      <c r="F17" s="513">
        <f t="shared" si="1"/>
        <v>23.52</v>
      </c>
      <c r="G17" s="513">
        <f t="shared" si="2"/>
        <v>58.8</v>
      </c>
      <c r="H17" s="508">
        <v>588</v>
      </c>
      <c r="I17" s="508">
        <v>588</v>
      </c>
      <c r="J17" s="507">
        <f t="shared" si="3"/>
        <v>0</v>
      </c>
      <c r="L17" s="73">
        <v>0</v>
      </c>
      <c r="M17" s="73">
        <v>0</v>
      </c>
    </row>
    <row r="18" spans="1:33" s="73" customFormat="1" ht="16.149999999999999" customHeight="1" x14ac:dyDescent="0.25">
      <c r="A18" s="5">
        <v>8</v>
      </c>
      <c r="B18" s="351" t="s">
        <v>882</v>
      </c>
      <c r="C18" s="505">
        <v>966</v>
      </c>
      <c r="D18" s="505">
        <v>966</v>
      </c>
      <c r="E18" s="513">
        <f t="shared" si="0"/>
        <v>57.96</v>
      </c>
      <c r="F18" s="513">
        <f t="shared" si="1"/>
        <v>38.64</v>
      </c>
      <c r="G18" s="513">
        <f t="shared" si="2"/>
        <v>96.6</v>
      </c>
      <c r="H18" s="508">
        <v>966</v>
      </c>
      <c r="I18" s="508">
        <v>966</v>
      </c>
      <c r="J18" s="507">
        <f t="shared" si="3"/>
        <v>0</v>
      </c>
      <c r="L18" s="73">
        <v>966</v>
      </c>
      <c r="M18" s="73">
        <v>466</v>
      </c>
    </row>
    <row r="19" spans="1:33" s="73" customFormat="1" ht="16.149999999999999" customHeight="1" x14ac:dyDescent="0.25">
      <c r="A19" s="5">
        <v>9</v>
      </c>
      <c r="B19" s="351" t="s">
        <v>883</v>
      </c>
      <c r="C19" s="505">
        <v>644</v>
      </c>
      <c r="D19" s="505">
        <v>644</v>
      </c>
      <c r="E19" s="513">
        <f t="shared" si="0"/>
        <v>38.64</v>
      </c>
      <c r="F19" s="513">
        <f t="shared" si="1"/>
        <v>25.76</v>
      </c>
      <c r="G19" s="513">
        <f t="shared" si="2"/>
        <v>64.400000000000006</v>
      </c>
      <c r="H19" s="508">
        <v>644</v>
      </c>
      <c r="I19" s="508">
        <v>644</v>
      </c>
      <c r="J19" s="507">
        <f t="shared" si="3"/>
        <v>0</v>
      </c>
      <c r="L19" s="502">
        <v>2222</v>
      </c>
      <c r="M19" s="502">
        <v>996</v>
      </c>
    </row>
    <row r="20" spans="1:33" s="73" customFormat="1" ht="16.149999999999999" customHeight="1" x14ac:dyDescent="0.25">
      <c r="A20" s="5">
        <v>10</v>
      </c>
      <c r="B20" s="351" t="s">
        <v>884</v>
      </c>
      <c r="C20" s="505">
        <v>381</v>
      </c>
      <c r="D20" s="505">
        <v>381</v>
      </c>
      <c r="E20" s="513">
        <f t="shared" si="0"/>
        <v>22.86</v>
      </c>
      <c r="F20" s="513">
        <f t="shared" si="1"/>
        <v>15.24</v>
      </c>
      <c r="G20" s="513">
        <f t="shared" si="2"/>
        <v>38.1</v>
      </c>
      <c r="H20" s="508">
        <v>381</v>
      </c>
      <c r="I20" s="508">
        <v>381</v>
      </c>
      <c r="J20" s="507">
        <f t="shared" si="3"/>
        <v>0</v>
      </c>
      <c r="L20" s="73">
        <v>0</v>
      </c>
      <c r="M20" s="73">
        <v>0</v>
      </c>
    </row>
    <row r="21" spans="1:33" s="73" customFormat="1" ht="16.149999999999999" customHeight="1" x14ac:dyDescent="0.25">
      <c r="A21" s="5">
        <v>11</v>
      </c>
      <c r="B21" s="351" t="s">
        <v>885</v>
      </c>
      <c r="C21" s="505">
        <v>440</v>
      </c>
      <c r="D21" s="505">
        <v>440</v>
      </c>
      <c r="E21" s="513">
        <f t="shared" si="0"/>
        <v>26.4</v>
      </c>
      <c r="F21" s="513">
        <f t="shared" si="1"/>
        <v>17.600000000000001</v>
      </c>
      <c r="G21" s="513">
        <f t="shared" si="2"/>
        <v>44</v>
      </c>
      <c r="H21" s="508">
        <v>440</v>
      </c>
      <c r="I21" s="508">
        <v>440</v>
      </c>
      <c r="J21" s="507">
        <f t="shared" si="3"/>
        <v>0</v>
      </c>
      <c r="L21" s="502">
        <v>326</v>
      </c>
      <c r="M21" s="502">
        <v>326</v>
      </c>
    </row>
    <row r="22" spans="1:33" s="73" customFormat="1" ht="16.149999999999999" customHeight="1" x14ac:dyDescent="0.25">
      <c r="A22" s="5">
        <v>12</v>
      </c>
      <c r="B22" s="351" t="s">
        <v>886</v>
      </c>
      <c r="C22" s="505">
        <v>725</v>
      </c>
      <c r="D22" s="505">
        <v>725</v>
      </c>
      <c r="E22" s="513">
        <f t="shared" si="0"/>
        <v>43.5</v>
      </c>
      <c r="F22" s="513">
        <f t="shared" si="1"/>
        <v>29</v>
      </c>
      <c r="G22" s="513">
        <f t="shared" si="2"/>
        <v>72.5</v>
      </c>
      <c r="H22" s="508">
        <v>725</v>
      </c>
      <c r="I22" s="508">
        <v>725</v>
      </c>
      <c r="J22" s="507">
        <f t="shared" si="3"/>
        <v>0</v>
      </c>
      <c r="L22" s="73">
        <v>725</v>
      </c>
      <c r="M22" s="73">
        <v>725</v>
      </c>
    </row>
    <row r="23" spans="1:33" s="73" customFormat="1" ht="16.149999999999999" customHeight="1" x14ac:dyDescent="0.25">
      <c r="A23" s="5">
        <v>13</v>
      </c>
      <c r="B23" s="351" t="s">
        <v>887</v>
      </c>
      <c r="C23" s="505">
        <v>307</v>
      </c>
      <c r="D23" s="505">
        <v>307</v>
      </c>
      <c r="E23" s="513">
        <f t="shared" si="0"/>
        <v>18.420000000000002</v>
      </c>
      <c r="F23" s="513">
        <f t="shared" si="1"/>
        <v>12.28</v>
      </c>
      <c r="G23" s="513">
        <f t="shared" si="2"/>
        <v>30.700000000000003</v>
      </c>
      <c r="H23" s="508">
        <v>307</v>
      </c>
      <c r="I23" s="508">
        <v>307</v>
      </c>
      <c r="J23" s="507">
        <f t="shared" si="3"/>
        <v>0</v>
      </c>
      <c r="L23" s="73">
        <v>416</v>
      </c>
      <c r="M23" s="73">
        <v>416</v>
      </c>
    </row>
    <row r="24" spans="1:33" s="73" customFormat="1" ht="16.149999999999999" customHeight="1" x14ac:dyDescent="0.25">
      <c r="A24" s="5">
        <v>14</v>
      </c>
      <c r="B24" s="351" t="s">
        <v>888</v>
      </c>
      <c r="C24" s="505">
        <v>191</v>
      </c>
      <c r="D24" s="505">
        <v>191</v>
      </c>
      <c r="E24" s="513">
        <f t="shared" si="0"/>
        <v>11.46</v>
      </c>
      <c r="F24" s="513">
        <f t="shared" si="1"/>
        <v>7.64</v>
      </c>
      <c r="G24" s="513">
        <f t="shared" si="2"/>
        <v>19.100000000000001</v>
      </c>
      <c r="H24" s="508">
        <v>191</v>
      </c>
      <c r="I24" s="508">
        <v>191</v>
      </c>
      <c r="J24" s="507">
        <f t="shared" si="3"/>
        <v>0</v>
      </c>
      <c r="L24" s="73">
        <v>156</v>
      </c>
      <c r="M24" s="73">
        <v>130</v>
      </c>
    </row>
    <row r="25" spans="1:33" s="73" customFormat="1" ht="16.149999999999999" customHeight="1" x14ac:dyDescent="0.25">
      <c r="A25" s="5">
        <v>15</v>
      </c>
      <c r="B25" s="351" t="s">
        <v>924</v>
      </c>
      <c r="C25" s="505">
        <v>648</v>
      </c>
      <c r="D25" s="505">
        <v>648</v>
      </c>
      <c r="E25" s="513">
        <f t="shared" si="0"/>
        <v>38.880000000000003</v>
      </c>
      <c r="F25" s="513">
        <f t="shared" si="1"/>
        <v>25.92</v>
      </c>
      <c r="G25" s="513">
        <f t="shared" si="2"/>
        <v>64.800000000000011</v>
      </c>
      <c r="H25" s="508">
        <v>648</v>
      </c>
      <c r="I25" s="508">
        <v>648</v>
      </c>
      <c r="J25" s="507">
        <f t="shared" si="3"/>
        <v>0</v>
      </c>
    </row>
    <row r="26" spans="1:33" s="73" customFormat="1" ht="16.149999999999999" customHeight="1" x14ac:dyDescent="0.25">
      <c r="A26" s="5">
        <v>16</v>
      </c>
      <c r="B26" s="351" t="s">
        <v>890</v>
      </c>
      <c r="C26" s="505">
        <v>903</v>
      </c>
      <c r="D26" s="505">
        <v>536</v>
      </c>
      <c r="E26" s="513">
        <f t="shared" si="0"/>
        <v>32.159999999999997</v>
      </c>
      <c r="F26" s="513">
        <f t="shared" si="1"/>
        <v>21.44</v>
      </c>
      <c r="G26" s="513">
        <f t="shared" si="2"/>
        <v>53.599999999999994</v>
      </c>
      <c r="H26" s="508">
        <v>536</v>
      </c>
      <c r="I26" s="508">
        <v>903</v>
      </c>
      <c r="J26" s="507">
        <f t="shared" si="3"/>
        <v>367</v>
      </c>
      <c r="L26" s="73">
        <v>168</v>
      </c>
      <c r="M26" s="73">
        <v>168</v>
      </c>
    </row>
    <row r="27" spans="1:33" x14ac:dyDescent="0.25">
      <c r="A27" s="5">
        <v>17</v>
      </c>
      <c r="B27" s="351" t="s">
        <v>891</v>
      </c>
      <c r="C27" s="504">
        <v>740</v>
      </c>
      <c r="D27" s="504">
        <v>740</v>
      </c>
      <c r="E27" s="513">
        <f t="shared" si="0"/>
        <v>44.4</v>
      </c>
      <c r="F27" s="513">
        <f t="shared" si="1"/>
        <v>29.6</v>
      </c>
      <c r="G27" s="513">
        <f t="shared" si="2"/>
        <v>74</v>
      </c>
      <c r="H27" s="509">
        <v>740</v>
      </c>
      <c r="I27" s="509">
        <v>740</v>
      </c>
      <c r="J27" s="507">
        <f t="shared" si="3"/>
        <v>0</v>
      </c>
      <c r="L27" s="68">
        <v>740</v>
      </c>
      <c r="M27" s="68">
        <v>740</v>
      </c>
    </row>
    <row r="28" spans="1:33" x14ac:dyDescent="0.25">
      <c r="A28" s="5">
        <v>18</v>
      </c>
      <c r="B28" s="351" t="s">
        <v>892</v>
      </c>
      <c r="C28" s="504">
        <v>469</v>
      </c>
      <c r="D28" s="504">
        <v>469</v>
      </c>
      <c r="E28" s="513">
        <f t="shared" si="0"/>
        <v>28.14</v>
      </c>
      <c r="F28" s="513">
        <f t="shared" si="1"/>
        <v>18.760000000000002</v>
      </c>
      <c r="G28" s="513">
        <f t="shared" si="2"/>
        <v>46.900000000000006</v>
      </c>
      <c r="H28" s="509">
        <v>469</v>
      </c>
      <c r="I28" s="509">
        <v>469</v>
      </c>
      <c r="J28" s="507">
        <f t="shared" si="3"/>
        <v>0</v>
      </c>
      <c r="L28" s="68">
        <v>469</v>
      </c>
      <c r="M28" s="68">
        <v>469</v>
      </c>
    </row>
    <row r="29" spans="1:33" x14ac:dyDescent="0.25">
      <c r="A29" s="5">
        <v>19</v>
      </c>
      <c r="B29" s="351" t="s">
        <v>893</v>
      </c>
      <c r="C29" s="504">
        <v>1066</v>
      </c>
      <c r="D29" s="504">
        <v>1066</v>
      </c>
      <c r="E29" s="513">
        <f t="shared" si="0"/>
        <v>63.96</v>
      </c>
      <c r="F29" s="513">
        <f t="shared" si="1"/>
        <v>42.64</v>
      </c>
      <c r="G29" s="513">
        <f t="shared" si="2"/>
        <v>106.6</v>
      </c>
      <c r="H29" s="509">
        <v>1066</v>
      </c>
      <c r="I29" s="509">
        <v>1066</v>
      </c>
      <c r="J29" s="507">
        <f t="shared" si="3"/>
        <v>0</v>
      </c>
      <c r="L29" s="68">
        <v>1066</v>
      </c>
      <c r="M29" s="68">
        <v>1066</v>
      </c>
    </row>
    <row r="30" spans="1:33" x14ac:dyDescent="0.25">
      <c r="A30" s="5">
        <v>20</v>
      </c>
      <c r="B30" s="351" t="s">
        <v>894</v>
      </c>
      <c r="C30" s="504">
        <v>349</v>
      </c>
      <c r="D30" s="504">
        <v>349</v>
      </c>
      <c r="E30" s="513">
        <f t="shared" si="0"/>
        <v>20.94</v>
      </c>
      <c r="F30" s="513">
        <f t="shared" si="1"/>
        <v>13.96</v>
      </c>
      <c r="G30" s="513">
        <f t="shared" si="2"/>
        <v>34.900000000000006</v>
      </c>
      <c r="H30" s="509">
        <v>349</v>
      </c>
      <c r="I30" s="509">
        <v>349</v>
      </c>
      <c r="J30" s="507">
        <f t="shared" si="3"/>
        <v>0</v>
      </c>
      <c r="L30" s="68">
        <v>349</v>
      </c>
      <c r="M30" s="68">
        <v>349</v>
      </c>
    </row>
    <row r="31" spans="1:33" s="74" customFormat="1" x14ac:dyDescent="0.25">
      <c r="A31" s="5">
        <v>21</v>
      </c>
      <c r="B31" s="351" t="s">
        <v>925</v>
      </c>
      <c r="C31" s="504">
        <v>288</v>
      </c>
      <c r="D31" s="504">
        <v>288</v>
      </c>
      <c r="E31" s="513">
        <f t="shared" si="0"/>
        <v>17.28</v>
      </c>
      <c r="F31" s="513">
        <f t="shared" si="1"/>
        <v>11.52</v>
      </c>
      <c r="G31" s="513">
        <f t="shared" si="2"/>
        <v>28.8</v>
      </c>
      <c r="H31" s="510">
        <v>288</v>
      </c>
      <c r="I31" s="510">
        <v>288</v>
      </c>
      <c r="J31" s="507">
        <f t="shared" si="3"/>
        <v>0</v>
      </c>
      <c r="K31" s="75"/>
      <c r="L31" s="75">
        <v>1258</v>
      </c>
      <c r="M31" s="506">
        <v>251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1:33" x14ac:dyDescent="0.25">
      <c r="A32" s="5">
        <v>22</v>
      </c>
      <c r="B32" s="351" t="s">
        <v>896</v>
      </c>
      <c r="C32" s="504">
        <v>318</v>
      </c>
      <c r="D32" s="504">
        <v>318</v>
      </c>
      <c r="E32" s="513">
        <f t="shared" si="0"/>
        <v>19.079999999999998</v>
      </c>
      <c r="F32" s="513">
        <f t="shared" si="1"/>
        <v>12.72</v>
      </c>
      <c r="G32" s="513">
        <f t="shared" si="2"/>
        <v>31.799999999999997</v>
      </c>
      <c r="H32" s="509">
        <v>318</v>
      </c>
      <c r="I32" s="509">
        <v>318</v>
      </c>
      <c r="J32" s="507">
        <f t="shared" si="3"/>
        <v>0</v>
      </c>
      <c r="L32" s="68">
        <v>90</v>
      </c>
      <c r="M32" s="68">
        <v>90</v>
      </c>
    </row>
    <row r="33" spans="1:13" x14ac:dyDescent="0.25">
      <c r="A33" s="5">
        <v>23</v>
      </c>
      <c r="B33" s="351" t="s">
        <v>926</v>
      </c>
      <c r="C33" s="504">
        <v>643</v>
      </c>
      <c r="D33" s="504">
        <v>643</v>
      </c>
      <c r="E33" s="513">
        <f t="shared" si="0"/>
        <v>38.58</v>
      </c>
      <c r="F33" s="513">
        <f t="shared" si="1"/>
        <v>25.72</v>
      </c>
      <c r="G33" s="513">
        <f t="shared" si="2"/>
        <v>64.3</v>
      </c>
      <c r="H33" s="509">
        <v>643</v>
      </c>
      <c r="I33" s="509">
        <v>643</v>
      </c>
      <c r="J33" s="507">
        <f t="shared" si="3"/>
        <v>0</v>
      </c>
      <c r="L33" s="68">
        <v>643</v>
      </c>
      <c r="M33" s="68">
        <v>643</v>
      </c>
    </row>
    <row r="34" spans="1:13" x14ac:dyDescent="0.25">
      <c r="A34" s="5">
        <v>24</v>
      </c>
      <c r="B34" s="351" t="s">
        <v>898</v>
      </c>
      <c r="C34" s="504">
        <v>456</v>
      </c>
      <c r="D34" s="504">
        <v>456</v>
      </c>
      <c r="E34" s="513">
        <f t="shared" si="0"/>
        <v>27.36</v>
      </c>
      <c r="F34" s="513">
        <f t="shared" si="1"/>
        <v>18.239999999999998</v>
      </c>
      <c r="G34" s="513">
        <f t="shared" si="2"/>
        <v>45.599999999999994</v>
      </c>
      <c r="H34" s="509">
        <v>456</v>
      </c>
      <c r="I34" s="509">
        <v>456</v>
      </c>
      <c r="J34" s="507">
        <f t="shared" si="3"/>
        <v>0</v>
      </c>
      <c r="L34" s="68">
        <v>0</v>
      </c>
      <c r="M34" s="68">
        <v>0</v>
      </c>
    </row>
    <row r="35" spans="1:13" s="435" customFormat="1" x14ac:dyDescent="0.25">
      <c r="A35" s="1111" t="s">
        <v>15</v>
      </c>
      <c r="B35" s="1112"/>
      <c r="C35" s="503">
        <f t="shared" ref="C35:I35" si="4">SUM(C11:C34)</f>
        <v>12546</v>
      </c>
      <c r="D35" s="503">
        <f t="shared" si="4"/>
        <v>12114</v>
      </c>
      <c r="E35" s="514">
        <f t="shared" si="4"/>
        <v>726.84000000000015</v>
      </c>
      <c r="F35" s="514">
        <f t="shared" si="4"/>
        <v>484.55999999999995</v>
      </c>
      <c r="G35" s="514">
        <f t="shared" si="4"/>
        <v>1211.3999999999999</v>
      </c>
      <c r="H35" s="511">
        <f t="shared" si="4"/>
        <v>12114</v>
      </c>
      <c r="I35" s="512">
        <f t="shared" si="4"/>
        <v>12546</v>
      </c>
    </row>
    <row r="36" spans="1:13" x14ac:dyDescent="0.25">
      <c r="A36" s="247"/>
      <c r="B36" s="75"/>
      <c r="C36" s="75"/>
      <c r="D36" s="75"/>
      <c r="E36" s="75"/>
      <c r="F36" s="75"/>
      <c r="G36" s="75"/>
      <c r="I36" s="68">
        <v>118</v>
      </c>
    </row>
    <row r="37" spans="1:13" s="15" customFormat="1" ht="12.75" customHeight="1" x14ac:dyDescent="0.2">
      <c r="A37" s="670" t="s">
        <v>11</v>
      </c>
      <c r="B37" s="671"/>
      <c r="C37" s="671"/>
      <c r="D37" s="671"/>
      <c r="E37" s="671"/>
      <c r="F37" s="671"/>
      <c r="G37" s="670"/>
    </row>
    <row r="38" spans="1:13" s="15" customFormat="1" ht="12.75" x14ac:dyDescent="0.2">
      <c r="A38" s="670"/>
      <c r="B38" s="670"/>
      <c r="C38" s="671"/>
      <c r="D38" s="671"/>
      <c r="E38" s="671"/>
      <c r="F38" s="671"/>
      <c r="G38" s="671"/>
    </row>
    <row r="39" spans="1:13" x14ac:dyDescent="0.25">
      <c r="A39" s="669"/>
      <c r="B39" s="669"/>
      <c r="C39" s="669"/>
      <c r="D39" s="669"/>
      <c r="E39" s="669"/>
      <c r="F39" s="757" t="s">
        <v>1107</v>
      </c>
      <c r="G39" s="757"/>
      <c r="H39" s="697"/>
      <c r="I39" s="697"/>
      <c r="J39" s="697"/>
      <c r="K39" s="697"/>
      <c r="L39" s="697"/>
      <c r="M39" s="697"/>
    </row>
    <row r="40" spans="1:13" x14ac:dyDescent="0.25">
      <c r="A40" s="670"/>
      <c r="B40" s="669"/>
      <c r="C40" s="679"/>
      <c r="D40" s="679"/>
      <c r="E40" s="679" t="s">
        <v>1108</v>
      </c>
      <c r="F40" s="679"/>
      <c r="G40" s="679"/>
      <c r="H40" s="33"/>
      <c r="I40" s="33"/>
      <c r="J40" s="33"/>
      <c r="K40" s="697"/>
      <c r="L40" s="697"/>
      <c r="M40" s="697"/>
    </row>
    <row r="41" spans="1:13" x14ac:dyDescent="0.25">
      <c r="A41" s="669"/>
      <c r="B41" s="679"/>
      <c r="C41" s="679"/>
      <c r="D41" s="679"/>
      <c r="E41" s="679" t="s">
        <v>1113</v>
      </c>
      <c r="F41" s="679"/>
      <c r="G41" s="679"/>
      <c r="H41" s="33"/>
      <c r="I41" s="33"/>
      <c r="J41" s="33"/>
      <c r="K41" s="697"/>
      <c r="L41" s="697"/>
      <c r="M41" s="697"/>
    </row>
    <row r="42" spans="1:13" x14ac:dyDescent="0.25">
      <c r="A42" s="671"/>
      <c r="B42" s="670"/>
      <c r="C42" s="670"/>
      <c r="D42" s="670"/>
      <c r="E42" s="756" t="s">
        <v>1110</v>
      </c>
      <c r="F42" s="756"/>
      <c r="G42" s="756"/>
      <c r="H42" s="697"/>
      <c r="I42" s="697"/>
      <c r="J42" s="697"/>
      <c r="K42" s="697"/>
      <c r="L42" s="697"/>
      <c r="M42" s="697"/>
    </row>
  </sheetData>
  <mergeCells count="11">
    <mergeCell ref="B4:H4"/>
    <mergeCell ref="E42:G42"/>
    <mergeCell ref="F39:G39"/>
    <mergeCell ref="B2:F2"/>
    <mergeCell ref="F1:G1"/>
    <mergeCell ref="E8:G8"/>
    <mergeCell ref="A35:B35"/>
    <mergeCell ref="A8:A9"/>
    <mergeCell ref="B8:B9"/>
    <mergeCell ref="C8:C9"/>
    <mergeCell ref="D8:D9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4"/>
  <sheetViews>
    <sheetView view="pageBreakPreview" topLeftCell="A14" zoomScale="85" zoomScaleNormal="90" zoomScaleSheetLayoutView="85" workbookViewId="0">
      <selection activeCell="A40" sqref="A40:N43"/>
    </sheetView>
  </sheetViews>
  <sheetFormatPr defaultRowHeight="15" x14ac:dyDescent="0.25"/>
  <cols>
    <col min="1" max="1" width="6.42578125" style="68" customWidth="1"/>
    <col min="2" max="2" width="22.5703125" style="68" customWidth="1"/>
    <col min="3" max="3" width="9.7109375" style="68" customWidth="1"/>
    <col min="4" max="4" width="8.140625" style="68" customWidth="1"/>
    <col min="5" max="5" width="7.42578125" style="68" customWidth="1"/>
    <col min="6" max="6" width="9.140625" style="68" customWidth="1"/>
    <col min="7" max="7" width="9.5703125" style="68" customWidth="1"/>
    <col min="8" max="8" width="8.140625" style="68" customWidth="1"/>
    <col min="9" max="9" width="6.85546875" style="68" customWidth="1"/>
    <col min="10" max="10" width="9.28515625" style="68" customWidth="1"/>
    <col min="11" max="11" width="10.5703125" style="68" customWidth="1"/>
    <col min="12" max="12" width="8.7109375" style="68" customWidth="1"/>
    <col min="13" max="13" width="7.42578125" style="68" customWidth="1"/>
    <col min="14" max="14" width="8.5703125" style="68" customWidth="1"/>
    <col min="15" max="15" width="8.7109375" style="68" customWidth="1"/>
    <col min="16" max="16" width="8.5703125" style="68" customWidth="1"/>
    <col min="17" max="17" width="7.85546875" style="68" customWidth="1"/>
    <col min="18" max="18" width="8.5703125" style="68" customWidth="1"/>
    <col min="19" max="20" width="10.5703125" style="68" customWidth="1"/>
    <col min="21" max="21" width="11.140625" style="68" customWidth="1"/>
    <col min="22" max="22" width="10.7109375" style="68" bestFit="1" customWidth="1"/>
    <col min="23" max="16384" width="9.140625" style="68"/>
  </cols>
  <sheetData>
    <row r="1" spans="1:24" s="15" customFormat="1" ht="15.75" x14ac:dyDescent="0.25">
      <c r="C1" s="41"/>
      <c r="D1" s="41"/>
      <c r="E1" s="41"/>
      <c r="F1" s="41"/>
      <c r="G1" s="41"/>
      <c r="H1" s="41"/>
      <c r="I1" s="100" t="s">
        <v>0</v>
      </c>
      <c r="J1" s="100"/>
      <c r="S1" s="38"/>
      <c r="T1" s="38"/>
      <c r="U1" s="871" t="s">
        <v>533</v>
      </c>
      <c r="V1" s="871"/>
      <c r="W1" s="39"/>
      <c r="X1" s="39"/>
    </row>
    <row r="2" spans="1:24" s="15" customFormat="1" ht="20.25" x14ac:dyDescent="0.3">
      <c r="E2" s="789" t="s">
        <v>694</v>
      </c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</row>
    <row r="3" spans="1:24" s="15" customFormat="1" ht="20.25" x14ac:dyDescent="0.3">
      <c r="H3" s="40"/>
      <c r="I3" s="40"/>
      <c r="J3" s="40"/>
      <c r="K3" s="40"/>
      <c r="L3" s="40"/>
      <c r="M3" s="40"/>
      <c r="N3" s="40"/>
      <c r="O3" s="40"/>
      <c r="P3" s="40"/>
    </row>
    <row r="4" spans="1:24" ht="15.75" x14ac:dyDescent="0.25">
      <c r="C4" s="790" t="s">
        <v>809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43"/>
      <c r="S4" s="106"/>
      <c r="T4" s="106"/>
      <c r="U4" s="106"/>
      <c r="V4" s="106"/>
      <c r="W4" s="100"/>
    </row>
    <row r="5" spans="1:24" x14ac:dyDescent="0.25">
      <c r="C5" s="69"/>
      <c r="D5" s="69"/>
      <c r="E5" s="69"/>
      <c r="F5" s="69"/>
      <c r="G5" s="69"/>
      <c r="H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4" x14ac:dyDescent="0.25">
      <c r="A6" s="557" t="s">
        <v>1098</v>
      </c>
      <c r="B6" s="79"/>
    </row>
    <row r="7" spans="1:24" x14ac:dyDescent="0.25">
      <c r="B7" s="277"/>
    </row>
    <row r="8" spans="1:24" s="72" customFormat="1" ht="24.75" customHeight="1" x14ac:dyDescent="0.25">
      <c r="A8" s="775" t="s">
        <v>1</v>
      </c>
      <c r="B8" s="1104" t="s">
        <v>2</v>
      </c>
      <c r="C8" s="1101" t="s">
        <v>810</v>
      </c>
      <c r="D8" s="1102"/>
      <c r="E8" s="1102"/>
      <c r="F8" s="1102"/>
      <c r="G8" s="1101" t="s">
        <v>814</v>
      </c>
      <c r="H8" s="1102"/>
      <c r="I8" s="1102"/>
      <c r="J8" s="1102"/>
      <c r="K8" s="1101" t="s">
        <v>815</v>
      </c>
      <c r="L8" s="1102"/>
      <c r="M8" s="1102"/>
      <c r="N8" s="1102"/>
      <c r="O8" s="1101" t="s">
        <v>816</v>
      </c>
      <c r="P8" s="1102"/>
      <c r="Q8" s="1102"/>
      <c r="R8" s="1102"/>
      <c r="S8" s="1133" t="s">
        <v>15</v>
      </c>
      <c r="T8" s="1134"/>
      <c r="U8" s="1134"/>
      <c r="V8" s="1134"/>
    </row>
    <row r="9" spans="1:24" s="73" customFormat="1" ht="29.25" customHeight="1" x14ac:dyDescent="0.25">
      <c r="A9" s="775"/>
      <c r="B9" s="1104"/>
      <c r="C9" s="1128" t="s">
        <v>811</v>
      </c>
      <c r="D9" s="1130" t="s">
        <v>813</v>
      </c>
      <c r="E9" s="1131"/>
      <c r="F9" s="1132"/>
      <c r="G9" s="1128" t="s">
        <v>811</v>
      </c>
      <c r="H9" s="1130" t="s">
        <v>813</v>
      </c>
      <c r="I9" s="1131"/>
      <c r="J9" s="1132"/>
      <c r="K9" s="1128" t="s">
        <v>811</v>
      </c>
      <c r="L9" s="1130" t="s">
        <v>813</v>
      </c>
      <c r="M9" s="1131"/>
      <c r="N9" s="1132"/>
      <c r="O9" s="1128" t="s">
        <v>811</v>
      </c>
      <c r="P9" s="1130" t="s">
        <v>813</v>
      </c>
      <c r="Q9" s="1131"/>
      <c r="R9" s="1132"/>
      <c r="S9" s="1128" t="s">
        <v>811</v>
      </c>
      <c r="T9" s="1130" t="s">
        <v>813</v>
      </c>
      <c r="U9" s="1131"/>
      <c r="V9" s="1132"/>
    </row>
    <row r="10" spans="1:24" s="73" customFormat="1" ht="46.5" customHeight="1" x14ac:dyDescent="0.25">
      <c r="A10" s="775"/>
      <c r="B10" s="1104"/>
      <c r="C10" s="1129"/>
      <c r="D10" s="67" t="s">
        <v>812</v>
      </c>
      <c r="E10" s="67" t="s">
        <v>195</v>
      </c>
      <c r="F10" s="67" t="s">
        <v>15</v>
      </c>
      <c r="G10" s="1129"/>
      <c r="H10" s="67" t="s">
        <v>812</v>
      </c>
      <c r="I10" s="67" t="s">
        <v>195</v>
      </c>
      <c r="J10" s="67" t="s">
        <v>15</v>
      </c>
      <c r="K10" s="1129"/>
      <c r="L10" s="67" t="s">
        <v>812</v>
      </c>
      <c r="M10" s="67" t="s">
        <v>195</v>
      </c>
      <c r="N10" s="67" t="s">
        <v>15</v>
      </c>
      <c r="O10" s="1129"/>
      <c r="P10" s="67" t="s">
        <v>812</v>
      </c>
      <c r="Q10" s="67" t="s">
        <v>195</v>
      </c>
      <c r="R10" s="67" t="s">
        <v>15</v>
      </c>
      <c r="S10" s="1129"/>
      <c r="T10" s="67" t="s">
        <v>812</v>
      </c>
      <c r="U10" s="67" t="s">
        <v>195</v>
      </c>
      <c r="V10" s="67" t="s">
        <v>15</v>
      </c>
    </row>
    <row r="11" spans="1:24" s="146" customFormat="1" ht="16.149999999999999" customHeight="1" x14ac:dyDescent="0.25">
      <c r="A11" s="278">
        <v>1</v>
      </c>
      <c r="B11" s="145">
        <v>2</v>
      </c>
      <c r="C11" s="145">
        <v>3</v>
      </c>
      <c r="D11" s="278">
        <v>4</v>
      </c>
      <c r="E11" s="145">
        <v>5</v>
      </c>
      <c r="F11" s="145">
        <v>6</v>
      </c>
      <c r="G11" s="278">
        <v>7</v>
      </c>
      <c r="H11" s="145">
        <v>8</v>
      </c>
      <c r="I11" s="145">
        <v>9</v>
      </c>
      <c r="J11" s="278">
        <v>10</v>
      </c>
      <c r="K11" s="145">
        <v>11</v>
      </c>
      <c r="L11" s="145">
        <v>12</v>
      </c>
      <c r="M11" s="278">
        <v>13</v>
      </c>
      <c r="N11" s="145">
        <v>14</v>
      </c>
      <c r="O11" s="145">
        <v>15</v>
      </c>
      <c r="P11" s="278">
        <v>16</v>
      </c>
      <c r="Q11" s="145">
        <v>17</v>
      </c>
      <c r="R11" s="145">
        <v>18</v>
      </c>
      <c r="S11" s="278">
        <v>19</v>
      </c>
      <c r="T11" s="145">
        <v>20</v>
      </c>
      <c r="U11" s="145">
        <v>21</v>
      </c>
      <c r="V11" s="278">
        <v>22</v>
      </c>
    </row>
    <row r="12" spans="1:24" x14ac:dyDescent="0.25">
      <c r="A12" s="109">
        <v>1</v>
      </c>
      <c r="B12" s="351" t="s">
        <v>875</v>
      </c>
      <c r="C12" s="1135" t="s">
        <v>1047</v>
      </c>
      <c r="D12" s="1136"/>
      <c r="E12" s="1136"/>
      <c r="F12" s="1136"/>
      <c r="G12" s="1136"/>
      <c r="H12" s="1136"/>
      <c r="I12" s="1136"/>
      <c r="J12" s="1136"/>
      <c r="K12" s="1136"/>
      <c r="L12" s="1136"/>
      <c r="M12" s="1136"/>
      <c r="N12" s="1136"/>
      <c r="O12" s="1136"/>
      <c r="P12" s="1136"/>
      <c r="Q12" s="1136"/>
      <c r="R12" s="1136"/>
      <c r="S12" s="1136"/>
      <c r="T12" s="1136"/>
      <c r="U12" s="1136"/>
      <c r="V12" s="1137"/>
    </row>
    <row r="13" spans="1:24" x14ac:dyDescent="0.25">
      <c r="A13" s="109">
        <v>2</v>
      </c>
      <c r="B13" s="351" t="s">
        <v>876</v>
      </c>
      <c r="C13" s="1138"/>
      <c r="D13" s="1139"/>
      <c r="E13" s="1139"/>
      <c r="F13" s="1139"/>
      <c r="G13" s="1139"/>
      <c r="H13" s="1139"/>
      <c r="I13" s="1139"/>
      <c r="J13" s="1139"/>
      <c r="K13" s="1139"/>
      <c r="L13" s="1139"/>
      <c r="M13" s="1139"/>
      <c r="N13" s="1139"/>
      <c r="O13" s="1139"/>
      <c r="P13" s="1139"/>
      <c r="Q13" s="1139"/>
      <c r="R13" s="1139"/>
      <c r="S13" s="1139"/>
      <c r="T13" s="1139"/>
      <c r="U13" s="1139"/>
      <c r="V13" s="1140"/>
    </row>
    <row r="14" spans="1:24" x14ac:dyDescent="0.25">
      <c r="A14" s="109">
        <v>3</v>
      </c>
      <c r="B14" s="351" t="s">
        <v>877</v>
      </c>
      <c r="C14" s="1138"/>
      <c r="D14" s="1139"/>
      <c r="E14" s="1139"/>
      <c r="F14" s="1139"/>
      <c r="G14" s="1139"/>
      <c r="H14" s="1139"/>
      <c r="I14" s="1139"/>
      <c r="J14" s="1139"/>
      <c r="K14" s="1139"/>
      <c r="L14" s="1139"/>
      <c r="M14" s="1139"/>
      <c r="N14" s="1139"/>
      <c r="O14" s="1139"/>
      <c r="P14" s="1139"/>
      <c r="Q14" s="1139"/>
      <c r="R14" s="1139"/>
      <c r="S14" s="1139"/>
      <c r="T14" s="1139"/>
      <c r="U14" s="1139"/>
      <c r="V14" s="1140"/>
    </row>
    <row r="15" spans="1:24" x14ac:dyDescent="0.25">
      <c r="A15" s="109">
        <v>4</v>
      </c>
      <c r="B15" s="351" t="s">
        <v>878</v>
      </c>
      <c r="C15" s="1138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40"/>
    </row>
    <row r="16" spans="1:24" x14ac:dyDescent="0.25">
      <c r="A16" s="109">
        <v>5</v>
      </c>
      <c r="B16" s="351" t="s">
        <v>879</v>
      </c>
      <c r="C16" s="1138"/>
      <c r="D16" s="1139"/>
      <c r="E16" s="1139"/>
      <c r="F16" s="1139"/>
      <c r="G16" s="1139"/>
      <c r="H16" s="1139"/>
      <c r="I16" s="1139"/>
      <c r="J16" s="1139"/>
      <c r="K16" s="1139"/>
      <c r="L16" s="1139"/>
      <c r="M16" s="1139"/>
      <c r="N16" s="1139"/>
      <c r="O16" s="1139"/>
      <c r="P16" s="1139"/>
      <c r="Q16" s="1139"/>
      <c r="R16" s="1139"/>
      <c r="S16" s="1139"/>
      <c r="T16" s="1139"/>
      <c r="U16" s="1139"/>
      <c r="V16" s="1140"/>
    </row>
    <row r="17" spans="1:22" x14ac:dyDescent="0.25">
      <c r="A17" s="109">
        <v>6</v>
      </c>
      <c r="B17" s="351" t="s">
        <v>880</v>
      </c>
      <c r="C17" s="1138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40"/>
    </row>
    <row r="18" spans="1:22" x14ac:dyDescent="0.25">
      <c r="A18" s="109">
        <v>7</v>
      </c>
      <c r="B18" s="351" t="s">
        <v>923</v>
      </c>
      <c r="C18" s="1138"/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39"/>
      <c r="V18" s="1140"/>
    </row>
    <row r="19" spans="1:22" x14ac:dyDescent="0.25">
      <c r="A19" s="109">
        <v>8</v>
      </c>
      <c r="B19" s="351" t="s">
        <v>882</v>
      </c>
      <c r="C19" s="1138"/>
      <c r="D19" s="1139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  <c r="P19" s="1139"/>
      <c r="Q19" s="1139"/>
      <c r="R19" s="1139"/>
      <c r="S19" s="1139"/>
      <c r="T19" s="1139"/>
      <c r="U19" s="1139"/>
      <c r="V19" s="1140"/>
    </row>
    <row r="20" spans="1:22" x14ac:dyDescent="0.25">
      <c r="A20" s="109">
        <v>9</v>
      </c>
      <c r="B20" s="351" t="s">
        <v>883</v>
      </c>
      <c r="C20" s="1138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40"/>
    </row>
    <row r="21" spans="1:22" x14ac:dyDescent="0.25">
      <c r="A21" s="109">
        <v>10</v>
      </c>
      <c r="B21" s="351" t="s">
        <v>884</v>
      </c>
      <c r="C21" s="1138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39"/>
      <c r="P21" s="1139"/>
      <c r="Q21" s="1139"/>
      <c r="R21" s="1139"/>
      <c r="S21" s="1139"/>
      <c r="T21" s="1139"/>
      <c r="U21" s="1139"/>
      <c r="V21" s="1140"/>
    </row>
    <row r="22" spans="1:22" x14ac:dyDescent="0.25">
      <c r="A22" s="109">
        <v>11</v>
      </c>
      <c r="B22" s="351" t="s">
        <v>885</v>
      </c>
      <c r="C22" s="1138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  <c r="U22" s="1139"/>
      <c r="V22" s="1140"/>
    </row>
    <row r="23" spans="1:22" x14ac:dyDescent="0.25">
      <c r="A23" s="109">
        <v>12</v>
      </c>
      <c r="B23" s="351" t="s">
        <v>886</v>
      </c>
      <c r="C23" s="1138"/>
      <c r="D23" s="1139"/>
      <c r="E23" s="1139"/>
      <c r="F23" s="1139"/>
      <c r="G23" s="1139"/>
      <c r="H23" s="1139"/>
      <c r="I23" s="1139"/>
      <c r="J23" s="1139"/>
      <c r="K23" s="1139"/>
      <c r="L23" s="1139"/>
      <c r="M23" s="1139"/>
      <c r="N23" s="1139"/>
      <c r="O23" s="1139"/>
      <c r="P23" s="1139"/>
      <c r="Q23" s="1139"/>
      <c r="R23" s="1139"/>
      <c r="S23" s="1139"/>
      <c r="T23" s="1139"/>
      <c r="U23" s="1139"/>
      <c r="V23" s="1140"/>
    </row>
    <row r="24" spans="1:22" x14ac:dyDescent="0.25">
      <c r="A24" s="109">
        <v>13</v>
      </c>
      <c r="B24" s="351" t="s">
        <v>887</v>
      </c>
      <c r="C24" s="1138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40"/>
    </row>
    <row r="25" spans="1:22" x14ac:dyDescent="0.25">
      <c r="A25" s="109">
        <v>14</v>
      </c>
      <c r="B25" s="351" t="s">
        <v>888</v>
      </c>
      <c r="C25" s="1138"/>
      <c r="D25" s="1139"/>
      <c r="E25" s="1139"/>
      <c r="F25" s="1139"/>
      <c r="G25" s="1139"/>
      <c r="H25" s="1139"/>
      <c r="I25" s="1139"/>
      <c r="J25" s="1139"/>
      <c r="K25" s="1139"/>
      <c r="L25" s="1139"/>
      <c r="M25" s="1139"/>
      <c r="N25" s="1139"/>
      <c r="O25" s="1139"/>
      <c r="P25" s="1139"/>
      <c r="Q25" s="1139"/>
      <c r="R25" s="1139"/>
      <c r="S25" s="1139"/>
      <c r="T25" s="1139"/>
      <c r="U25" s="1139"/>
      <c r="V25" s="1140"/>
    </row>
    <row r="26" spans="1:22" x14ac:dyDescent="0.25">
      <c r="A26" s="109">
        <v>15</v>
      </c>
      <c r="B26" s="351" t="s">
        <v>924</v>
      </c>
      <c r="C26" s="1138"/>
      <c r="D26" s="1139"/>
      <c r="E26" s="1139"/>
      <c r="F26" s="1139"/>
      <c r="G26" s="1139"/>
      <c r="H26" s="1139"/>
      <c r="I26" s="1139"/>
      <c r="J26" s="1139"/>
      <c r="K26" s="1139"/>
      <c r="L26" s="1139"/>
      <c r="M26" s="1139"/>
      <c r="N26" s="1139"/>
      <c r="O26" s="1139"/>
      <c r="P26" s="1139"/>
      <c r="Q26" s="1139"/>
      <c r="R26" s="1139"/>
      <c r="S26" s="1139"/>
      <c r="T26" s="1139"/>
      <c r="U26" s="1139"/>
      <c r="V26" s="1140"/>
    </row>
    <row r="27" spans="1:22" x14ac:dyDescent="0.25">
      <c r="A27" s="109">
        <v>16</v>
      </c>
      <c r="B27" s="351" t="s">
        <v>890</v>
      </c>
      <c r="C27" s="1138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40"/>
    </row>
    <row r="28" spans="1:22" x14ac:dyDescent="0.25">
      <c r="A28" s="109">
        <v>17</v>
      </c>
      <c r="B28" s="351" t="s">
        <v>891</v>
      </c>
      <c r="C28" s="1138"/>
      <c r="D28" s="1139"/>
      <c r="E28" s="1139"/>
      <c r="F28" s="1139"/>
      <c r="G28" s="1139"/>
      <c r="H28" s="1139"/>
      <c r="I28" s="1139"/>
      <c r="J28" s="1139"/>
      <c r="K28" s="1139"/>
      <c r="L28" s="1139"/>
      <c r="M28" s="1139"/>
      <c r="N28" s="1139"/>
      <c r="O28" s="1139"/>
      <c r="P28" s="1139"/>
      <c r="Q28" s="1139"/>
      <c r="R28" s="1139"/>
      <c r="S28" s="1139"/>
      <c r="T28" s="1139"/>
      <c r="U28" s="1139"/>
      <c r="V28" s="1140"/>
    </row>
    <row r="29" spans="1:22" x14ac:dyDescent="0.25">
      <c r="A29" s="109">
        <v>18</v>
      </c>
      <c r="B29" s="351" t="s">
        <v>892</v>
      </c>
      <c r="C29" s="1138"/>
      <c r="D29" s="1139"/>
      <c r="E29" s="1139"/>
      <c r="F29" s="1139"/>
      <c r="G29" s="1139"/>
      <c r="H29" s="1139"/>
      <c r="I29" s="1139"/>
      <c r="J29" s="1139"/>
      <c r="K29" s="1139"/>
      <c r="L29" s="1139"/>
      <c r="M29" s="1139"/>
      <c r="N29" s="1139"/>
      <c r="O29" s="1139"/>
      <c r="P29" s="1139"/>
      <c r="Q29" s="1139"/>
      <c r="R29" s="1139"/>
      <c r="S29" s="1139"/>
      <c r="T29" s="1139"/>
      <c r="U29" s="1139"/>
      <c r="V29" s="1140"/>
    </row>
    <row r="30" spans="1:22" x14ac:dyDescent="0.25">
      <c r="A30" s="109">
        <v>19</v>
      </c>
      <c r="B30" s="351" t="s">
        <v>893</v>
      </c>
      <c r="C30" s="1138"/>
      <c r="D30" s="1139"/>
      <c r="E30" s="1139"/>
      <c r="F30" s="1139"/>
      <c r="G30" s="1139"/>
      <c r="H30" s="1139"/>
      <c r="I30" s="1139"/>
      <c r="J30" s="1139"/>
      <c r="K30" s="1139"/>
      <c r="L30" s="1139"/>
      <c r="M30" s="1139"/>
      <c r="N30" s="1139"/>
      <c r="O30" s="1139"/>
      <c r="P30" s="1139"/>
      <c r="Q30" s="1139"/>
      <c r="R30" s="1139"/>
      <c r="S30" s="1139"/>
      <c r="T30" s="1139"/>
      <c r="U30" s="1139"/>
      <c r="V30" s="1140"/>
    </row>
    <row r="31" spans="1:22" x14ac:dyDescent="0.25">
      <c r="A31" s="109">
        <v>20</v>
      </c>
      <c r="B31" s="351" t="s">
        <v>894</v>
      </c>
      <c r="C31" s="1138"/>
      <c r="D31" s="1139"/>
      <c r="E31" s="1139"/>
      <c r="F31" s="1139"/>
      <c r="G31" s="1139"/>
      <c r="H31" s="1139"/>
      <c r="I31" s="1139"/>
      <c r="J31" s="1139"/>
      <c r="K31" s="1139"/>
      <c r="L31" s="1139"/>
      <c r="M31" s="1139"/>
      <c r="N31" s="1139"/>
      <c r="O31" s="1139"/>
      <c r="P31" s="1139"/>
      <c r="Q31" s="1139"/>
      <c r="R31" s="1139"/>
      <c r="S31" s="1139"/>
      <c r="T31" s="1139"/>
      <c r="U31" s="1139"/>
      <c r="V31" s="1140"/>
    </row>
    <row r="32" spans="1:22" x14ac:dyDescent="0.25">
      <c r="A32" s="109">
        <v>21</v>
      </c>
      <c r="B32" s="351" t="s">
        <v>925</v>
      </c>
      <c r="C32" s="1138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40"/>
    </row>
    <row r="33" spans="1:48" x14ac:dyDescent="0.25">
      <c r="A33" s="109">
        <v>22</v>
      </c>
      <c r="B33" s="351" t="s">
        <v>896</v>
      </c>
      <c r="C33" s="1138"/>
      <c r="D33" s="1139"/>
      <c r="E33" s="1139"/>
      <c r="F33" s="1139"/>
      <c r="G33" s="1139"/>
      <c r="H33" s="1139"/>
      <c r="I33" s="1139"/>
      <c r="J33" s="1139"/>
      <c r="K33" s="1139"/>
      <c r="L33" s="1139"/>
      <c r="M33" s="1139"/>
      <c r="N33" s="1139"/>
      <c r="O33" s="1139"/>
      <c r="P33" s="1139"/>
      <c r="Q33" s="1139"/>
      <c r="R33" s="1139"/>
      <c r="S33" s="1139"/>
      <c r="T33" s="1139"/>
      <c r="U33" s="1139"/>
      <c r="V33" s="1140"/>
    </row>
    <row r="34" spans="1:48" x14ac:dyDescent="0.25">
      <c r="A34" s="109">
        <v>23</v>
      </c>
      <c r="B34" s="351" t="s">
        <v>926</v>
      </c>
      <c r="C34" s="1138"/>
      <c r="D34" s="1139"/>
      <c r="E34" s="1139"/>
      <c r="F34" s="1139"/>
      <c r="G34" s="1139"/>
      <c r="H34" s="1139"/>
      <c r="I34" s="1139"/>
      <c r="J34" s="1139"/>
      <c r="K34" s="1139"/>
      <c r="L34" s="1139"/>
      <c r="M34" s="1139"/>
      <c r="N34" s="1139"/>
      <c r="O34" s="1139"/>
      <c r="P34" s="1139"/>
      <c r="Q34" s="1139"/>
      <c r="R34" s="1139"/>
      <c r="S34" s="1139"/>
      <c r="T34" s="1139"/>
      <c r="U34" s="1139"/>
      <c r="V34" s="1140"/>
    </row>
    <row r="35" spans="1:48" s="74" customFormat="1" x14ac:dyDescent="0.25">
      <c r="A35" s="109">
        <v>24</v>
      </c>
      <c r="B35" s="351" t="s">
        <v>898</v>
      </c>
      <c r="C35" s="1138"/>
      <c r="D35" s="1139"/>
      <c r="E35" s="1139"/>
      <c r="F35" s="1139"/>
      <c r="G35" s="1139"/>
      <c r="H35" s="1139"/>
      <c r="I35" s="1139"/>
      <c r="J35" s="1139"/>
      <c r="K35" s="1139"/>
      <c r="L35" s="1139"/>
      <c r="M35" s="1139"/>
      <c r="N35" s="1139"/>
      <c r="O35" s="1139"/>
      <c r="P35" s="1139"/>
      <c r="Q35" s="1139"/>
      <c r="R35" s="1139"/>
      <c r="S35" s="1139"/>
      <c r="T35" s="1139"/>
      <c r="U35" s="1139"/>
      <c r="V35" s="1140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</row>
    <row r="36" spans="1:48" x14ac:dyDescent="0.25">
      <c r="A36" s="1111" t="s">
        <v>15</v>
      </c>
      <c r="B36" s="1112"/>
      <c r="C36" s="1141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3"/>
    </row>
    <row r="38" spans="1:48" s="15" customFormat="1" ht="12.75" x14ac:dyDescent="0.2">
      <c r="A38" s="14"/>
      <c r="G38" s="14"/>
      <c r="H38" s="14"/>
      <c r="K38" s="14"/>
      <c r="L38" s="14"/>
      <c r="M38" s="14"/>
      <c r="N38" s="14"/>
      <c r="O38" s="14"/>
      <c r="P38" s="14"/>
      <c r="Q38" s="14"/>
      <c r="R38" s="14"/>
      <c r="S38" s="76"/>
      <c r="T38" s="76"/>
      <c r="U38" s="76"/>
      <c r="V38" s="76"/>
    </row>
    <row r="39" spans="1:48" s="15" customFormat="1" ht="12.75" customHeight="1" x14ac:dyDescent="0.2"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48" s="15" customFormat="1" ht="12.75" customHeight="1" x14ac:dyDescent="0.2">
      <c r="A40" s="701" t="s">
        <v>11</v>
      </c>
      <c r="B40" s="669"/>
      <c r="C40" s="669"/>
      <c r="D40" s="701"/>
      <c r="E40" s="700"/>
      <c r="F40" s="701"/>
      <c r="G40" s="701"/>
      <c r="H40" s="701"/>
      <c r="I40" s="701"/>
      <c r="J40" s="701"/>
      <c r="K40" s="701"/>
      <c r="L40" s="701" t="s">
        <v>1107</v>
      </c>
      <c r="M40" s="701"/>
      <c r="N40" s="701"/>
      <c r="O40" s="33"/>
      <c r="P40" s="33"/>
      <c r="Q40" s="33"/>
      <c r="R40" s="33"/>
      <c r="S40" s="33"/>
      <c r="T40" s="33"/>
      <c r="U40" s="33"/>
      <c r="V40" s="33"/>
    </row>
    <row r="41" spans="1:48" s="15" customFormat="1" ht="15" customHeight="1" x14ac:dyDescent="0.2">
      <c r="A41" s="669"/>
      <c r="B41" s="669"/>
      <c r="C41" s="669"/>
      <c r="D41" s="669"/>
      <c r="E41" s="701"/>
      <c r="F41" s="1086" t="s">
        <v>1108</v>
      </c>
      <c r="G41" s="1086"/>
      <c r="H41" s="1086"/>
      <c r="I41" s="1086"/>
      <c r="J41" s="1086"/>
      <c r="K41" s="1086"/>
      <c r="L41" s="1086"/>
      <c r="M41" s="1086"/>
      <c r="N41" s="1086"/>
      <c r="O41" s="566"/>
      <c r="P41" s="579"/>
      <c r="Q41" s="567"/>
      <c r="R41" s="567"/>
      <c r="S41" s="567"/>
      <c r="T41" s="33"/>
      <c r="U41" s="33"/>
      <c r="V41" s="33"/>
    </row>
    <row r="42" spans="1:48" x14ac:dyDescent="0.25">
      <c r="A42" s="669"/>
      <c r="B42" s="669"/>
      <c r="C42" s="669"/>
      <c r="D42" s="669"/>
      <c r="E42" s="1086" t="s">
        <v>1113</v>
      </c>
      <c r="F42" s="1086"/>
      <c r="G42" s="1086"/>
      <c r="H42" s="1086"/>
      <c r="I42" s="1086"/>
      <c r="J42" s="1086"/>
      <c r="K42" s="1086"/>
      <c r="L42" s="1086"/>
      <c r="M42" s="1086"/>
      <c r="N42" s="1086"/>
      <c r="O42" s="566"/>
      <c r="P42" s="579"/>
      <c r="Q42" s="567"/>
      <c r="R42" s="567"/>
      <c r="S42" s="567"/>
      <c r="T42" s="684"/>
      <c r="U42" s="684"/>
      <c r="V42" s="684"/>
      <c r="W42" s="684"/>
      <c r="X42" s="684"/>
      <c r="Y42" s="684"/>
      <c r="Z42" s="684"/>
      <c r="AA42" s="684"/>
      <c r="AB42" s="684"/>
      <c r="AC42" s="684"/>
      <c r="AD42" s="684"/>
    </row>
    <row r="43" spans="1:48" x14ac:dyDescent="0.25">
      <c r="A43" s="701"/>
      <c r="B43" s="701"/>
      <c r="C43" s="669"/>
      <c r="D43" s="669"/>
      <c r="E43" s="700"/>
      <c r="F43" s="701"/>
      <c r="G43" s="701"/>
      <c r="H43" s="701"/>
      <c r="I43" s="701"/>
      <c r="J43" s="701"/>
      <c r="K43" s="701"/>
      <c r="L43" s="701" t="s">
        <v>1115</v>
      </c>
      <c r="M43" s="701"/>
      <c r="N43" s="701"/>
      <c r="O43" s="566"/>
      <c r="P43" s="583"/>
      <c r="Q43" s="567"/>
      <c r="R43" s="567"/>
      <c r="S43" s="567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</row>
    <row r="44" spans="1:48" x14ac:dyDescent="0.25"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</row>
  </sheetData>
  <mergeCells count="24">
    <mergeCell ref="U1:V1"/>
    <mergeCell ref="E2:P2"/>
    <mergeCell ref="C4:Q4"/>
    <mergeCell ref="C8:F8"/>
    <mergeCell ref="G8:J8"/>
    <mergeCell ref="A36:B36"/>
    <mergeCell ref="O9:O10"/>
    <mergeCell ref="P9:R9"/>
    <mergeCell ref="S9:S10"/>
    <mergeCell ref="A8:A10"/>
    <mergeCell ref="S8:V8"/>
    <mergeCell ref="B8:B10"/>
    <mergeCell ref="C9:C10"/>
    <mergeCell ref="E42:N42"/>
    <mergeCell ref="L9:N9"/>
    <mergeCell ref="T9:V9"/>
    <mergeCell ref="C12:V36"/>
    <mergeCell ref="D9:F9"/>
    <mergeCell ref="F41:N41"/>
    <mergeCell ref="G9:G10"/>
    <mergeCell ref="H9:J9"/>
    <mergeCell ref="K9:K10"/>
    <mergeCell ref="K8:N8"/>
    <mergeCell ref="O8:R8"/>
  </mergeCells>
  <printOptions horizontalCentered="1"/>
  <pageMargins left="0.70866141732283472" right="0.70866141732283472" top="0.23622047244094491" bottom="0" header="0.31496062992125984" footer="0.31496062992125984"/>
  <pageSetup paperSize="9" scale="63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view="pageBreakPreview" topLeftCell="A22" zoomScale="85" zoomScaleNormal="90" zoomScaleSheetLayoutView="85" workbookViewId="0">
      <selection activeCell="S36" sqref="S36"/>
    </sheetView>
  </sheetViews>
  <sheetFormatPr defaultRowHeight="15" x14ac:dyDescent="0.25"/>
  <cols>
    <col min="1" max="1" width="6.28515625" style="68" customWidth="1"/>
    <col min="2" max="2" width="18.7109375" style="68" customWidth="1"/>
    <col min="3" max="3" width="9.7109375" style="68" customWidth="1"/>
    <col min="4" max="4" width="8.140625" style="68" customWidth="1"/>
    <col min="5" max="5" width="7.42578125" style="68" customWidth="1"/>
    <col min="6" max="6" width="9.140625" style="68" customWidth="1"/>
    <col min="7" max="7" width="9.5703125" style="68" customWidth="1"/>
    <col min="8" max="8" width="8.140625" style="68" customWidth="1"/>
    <col min="9" max="9" width="6.85546875" style="68" customWidth="1"/>
    <col min="10" max="10" width="9.28515625" style="68" customWidth="1"/>
    <col min="11" max="11" width="10.42578125" style="68" customWidth="1"/>
    <col min="12" max="12" width="8.7109375" style="68" customWidth="1"/>
    <col min="13" max="13" width="7.42578125" style="68" customWidth="1"/>
    <col min="14" max="14" width="8.5703125" style="68" customWidth="1"/>
    <col min="15" max="15" width="8.7109375" style="68" customWidth="1"/>
    <col min="16" max="16" width="8.5703125" style="68" customWidth="1"/>
    <col min="17" max="17" width="7.85546875" style="68" customWidth="1"/>
    <col min="18" max="18" width="8.5703125" style="68" customWidth="1"/>
    <col min="19" max="20" width="10.5703125" style="68" customWidth="1"/>
    <col min="21" max="21" width="11.140625" style="68" customWidth="1"/>
    <col min="22" max="22" width="10.7109375" style="68" bestFit="1" customWidth="1"/>
    <col min="23" max="16384" width="9.140625" style="68"/>
  </cols>
  <sheetData>
    <row r="1" spans="1:27" s="15" customFormat="1" ht="15.75" x14ac:dyDescent="0.25">
      <c r="C1" s="41"/>
      <c r="D1" s="41"/>
      <c r="E1" s="41"/>
      <c r="F1" s="41"/>
      <c r="G1" s="41"/>
      <c r="H1" s="41"/>
      <c r="I1" s="100" t="s">
        <v>0</v>
      </c>
      <c r="J1" s="100"/>
      <c r="S1" s="38"/>
      <c r="T1" s="38"/>
      <c r="U1" s="871" t="s">
        <v>818</v>
      </c>
      <c r="V1" s="871"/>
      <c r="W1" s="39"/>
      <c r="X1" s="39"/>
    </row>
    <row r="2" spans="1:27" s="15" customFormat="1" ht="20.25" x14ac:dyDescent="0.3">
      <c r="E2" s="789" t="s">
        <v>694</v>
      </c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</row>
    <row r="3" spans="1:27" s="15" customFormat="1" ht="20.25" x14ac:dyDescent="0.3">
      <c r="H3" s="40"/>
      <c r="I3" s="40"/>
      <c r="J3" s="40"/>
      <c r="K3" s="40"/>
      <c r="L3" s="40"/>
      <c r="M3" s="40"/>
      <c r="N3" s="40"/>
      <c r="O3" s="40"/>
      <c r="P3" s="40"/>
    </row>
    <row r="4" spans="1:27" ht="15.75" x14ac:dyDescent="0.25">
      <c r="C4" s="790" t="s">
        <v>817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43"/>
      <c r="S4" s="106"/>
      <c r="T4" s="106"/>
      <c r="U4" s="106"/>
      <c r="V4" s="106"/>
      <c r="W4" s="100"/>
    </row>
    <row r="5" spans="1:27" x14ac:dyDescent="0.25">
      <c r="C5" s="69"/>
      <c r="D5" s="69"/>
      <c r="E5" s="69"/>
      <c r="F5" s="69"/>
      <c r="G5" s="69"/>
      <c r="H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7" x14ac:dyDescent="0.25">
      <c r="A6" s="557" t="s">
        <v>1098</v>
      </c>
      <c r="B6" s="79"/>
    </row>
    <row r="7" spans="1:27" x14ac:dyDescent="0.25">
      <c r="B7" s="277"/>
    </row>
    <row r="8" spans="1:27" s="72" customFormat="1" ht="24.75" customHeight="1" x14ac:dyDescent="0.25">
      <c r="A8" s="775" t="s">
        <v>1</v>
      </c>
      <c r="B8" s="1104" t="s">
        <v>2</v>
      </c>
      <c r="C8" s="1101" t="s">
        <v>810</v>
      </c>
      <c r="D8" s="1102"/>
      <c r="E8" s="1102"/>
      <c r="F8" s="1102"/>
      <c r="G8" s="1101" t="s">
        <v>814</v>
      </c>
      <c r="H8" s="1102"/>
      <c r="I8" s="1102"/>
      <c r="J8" s="1102"/>
      <c r="K8" s="1101" t="s">
        <v>815</v>
      </c>
      <c r="L8" s="1102"/>
      <c r="M8" s="1102"/>
      <c r="N8" s="1102"/>
      <c r="O8" s="1101" t="s">
        <v>816</v>
      </c>
      <c r="P8" s="1102"/>
      <c r="Q8" s="1102"/>
      <c r="R8" s="1102"/>
      <c r="S8" s="1133" t="s">
        <v>15</v>
      </c>
      <c r="T8" s="1134"/>
      <c r="U8" s="1134"/>
      <c r="V8" s="1134"/>
    </row>
    <row r="9" spans="1:27" s="73" customFormat="1" ht="29.25" customHeight="1" x14ac:dyDescent="0.25">
      <c r="A9" s="775"/>
      <c r="B9" s="1104"/>
      <c r="C9" s="1128" t="s">
        <v>811</v>
      </c>
      <c r="D9" s="1130" t="s">
        <v>813</v>
      </c>
      <c r="E9" s="1131"/>
      <c r="F9" s="1132"/>
      <c r="G9" s="1128" t="s">
        <v>811</v>
      </c>
      <c r="H9" s="1130" t="s">
        <v>813</v>
      </c>
      <c r="I9" s="1131"/>
      <c r="J9" s="1132"/>
      <c r="K9" s="1128" t="s">
        <v>811</v>
      </c>
      <c r="L9" s="1130" t="s">
        <v>813</v>
      </c>
      <c r="M9" s="1131"/>
      <c r="N9" s="1132"/>
      <c r="O9" s="1128" t="s">
        <v>811</v>
      </c>
      <c r="P9" s="1130" t="s">
        <v>813</v>
      </c>
      <c r="Q9" s="1131"/>
      <c r="R9" s="1132"/>
      <c r="S9" s="1128" t="s">
        <v>811</v>
      </c>
      <c r="T9" s="1130" t="s">
        <v>813</v>
      </c>
      <c r="U9" s="1131"/>
      <c r="V9" s="1132"/>
    </row>
    <row r="10" spans="1:27" s="73" customFormat="1" ht="46.5" customHeight="1" x14ac:dyDescent="0.25">
      <c r="A10" s="775"/>
      <c r="B10" s="1104"/>
      <c r="C10" s="1129"/>
      <c r="D10" s="67" t="s">
        <v>812</v>
      </c>
      <c r="E10" s="67" t="s">
        <v>195</v>
      </c>
      <c r="F10" s="67" t="s">
        <v>15</v>
      </c>
      <c r="G10" s="1129"/>
      <c r="H10" s="67" t="s">
        <v>812</v>
      </c>
      <c r="I10" s="67" t="s">
        <v>195</v>
      </c>
      <c r="J10" s="67" t="s">
        <v>15</v>
      </c>
      <c r="K10" s="1129"/>
      <c r="L10" s="67" t="s">
        <v>812</v>
      </c>
      <c r="M10" s="67" t="s">
        <v>195</v>
      </c>
      <c r="N10" s="67" t="s">
        <v>15</v>
      </c>
      <c r="O10" s="1129"/>
      <c r="P10" s="67" t="s">
        <v>812</v>
      </c>
      <c r="Q10" s="67" t="s">
        <v>195</v>
      </c>
      <c r="R10" s="67" t="s">
        <v>15</v>
      </c>
      <c r="S10" s="1129"/>
      <c r="T10" s="67" t="s">
        <v>812</v>
      </c>
      <c r="U10" s="67" t="s">
        <v>195</v>
      </c>
      <c r="V10" s="67" t="s">
        <v>15</v>
      </c>
      <c r="X10" s="73">
        <f>327/24</f>
        <v>13.625</v>
      </c>
    </row>
    <row r="11" spans="1:27" s="146" customFormat="1" ht="16.149999999999999" customHeight="1" x14ac:dyDescent="0.25">
      <c r="A11" s="278">
        <v>1</v>
      </c>
      <c r="B11" s="145">
        <v>2</v>
      </c>
      <c r="C11" s="145">
        <v>3</v>
      </c>
      <c r="D11" s="278">
        <v>4</v>
      </c>
      <c r="E11" s="145">
        <v>5</v>
      </c>
      <c r="F11" s="145">
        <v>6</v>
      </c>
      <c r="G11" s="278">
        <v>7</v>
      </c>
      <c r="H11" s="145">
        <v>8</v>
      </c>
      <c r="I11" s="145">
        <v>9</v>
      </c>
      <c r="J11" s="278">
        <v>10</v>
      </c>
      <c r="K11" s="145">
        <v>11</v>
      </c>
      <c r="L11" s="145">
        <v>12</v>
      </c>
      <c r="M11" s="278">
        <v>13</v>
      </c>
      <c r="N11" s="145">
        <v>14</v>
      </c>
      <c r="O11" s="145">
        <v>15</v>
      </c>
      <c r="P11" s="278">
        <v>16</v>
      </c>
      <c r="Q11" s="145">
        <v>17</v>
      </c>
      <c r="R11" s="145">
        <v>18</v>
      </c>
      <c r="S11" s="278">
        <v>19</v>
      </c>
      <c r="T11" s="145">
        <v>20</v>
      </c>
      <c r="U11" s="145">
        <v>21</v>
      </c>
      <c r="V11" s="278">
        <v>22</v>
      </c>
    </row>
    <row r="12" spans="1:27" x14ac:dyDescent="0.25">
      <c r="A12" s="109">
        <v>1</v>
      </c>
      <c r="B12" s="351" t="s">
        <v>875</v>
      </c>
      <c r="C12" s="499">
        <v>734</v>
      </c>
      <c r="D12" s="516">
        <f>C12*6000/100000</f>
        <v>44.04</v>
      </c>
      <c r="E12" s="516">
        <f>C12*4000/100000</f>
        <v>29.36</v>
      </c>
      <c r="F12" s="516">
        <f>SUM(D12:E12)</f>
        <v>73.400000000000006</v>
      </c>
      <c r="G12" s="499">
        <v>747</v>
      </c>
      <c r="H12" s="516">
        <f>G12*9000/100000</f>
        <v>67.23</v>
      </c>
      <c r="I12" s="516">
        <f>G12*6000/100000</f>
        <v>44.82</v>
      </c>
      <c r="J12" s="516">
        <f>SUM(H12:I12)</f>
        <v>112.05000000000001</v>
      </c>
      <c r="K12" s="499">
        <v>263</v>
      </c>
      <c r="L12" s="516">
        <f>K12*12000/100000</f>
        <v>31.56</v>
      </c>
      <c r="M12" s="516">
        <f>K12*8000/100000</f>
        <v>21.04</v>
      </c>
      <c r="N12" s="516">
        <f>SUM(L12:M12)</f>
        <v>52.599999999999994</v>
      </c>
      <c r="O12" s="499">
        <v>241</v>
      </c>
      <c r="P12" s="516">
        <f>O12*15000/100000</f>
        <v>36.15</v>
      </c>
      <c r="Q12" s="516">
        <f>O12*10000/100000</f>
        <v>24.1</v>
      </c>
      <c r="R12" s="516">
        <f>SUM(P12:Q12)</f>
        <v>60.25</v>
      </c>
      <c r="S12" s="74">
        <f>C12+G12+K12+O12</f>
        <v>1985</v>
      </c>
      <c r="T12" s="516">
        <f>D12+H12+L12+P12</f>
        <v>178.98000000000002</v>
      </c>
      <c r="U12" s="516">
        <f>E12+I12+M12+Q12</f>
        <v>119.32</v>
      </c>
      <c r="V12" s="516">
        <f>T12+U12</f>
        <v>298.3</v>
      </c>
      <c r="AA12" s="68">
        <f>K12+13</f>
        <v>276</v>
      </c>
    </row>
    <row r="13" spans="1:27" x14ac:dyDescent="0.25">
      <c r="A13" s="109">
        <v>2</v>
      </c>
      <c r="B13" s="351" t="s">
        <v>876</v>
      </c>
      <c r="C13" s="499">
        <v>221</v>
      </c>
      <c r="D13" s="516">
        <f t="shared" ref="D13:D35" si="0">C13*6000/100000</f>
        <v>13.26</v>
      </c>
      <c r="E13" s="516">
        <f t="shared" ref="E13:E35" si="1">C13*4000/100000</f>
        <v>8.84</v>
      </c>
      <c r="F13" s="516">
        <f t="shared" ref="F13:F35" si="2">SUM(D13:E13)</f>
        <v>22.1</v>
      </c>
      <c r="G13" s="499">
        <v>340</v>
      </c>
      <c r="H13" s="516">
        <f t="shared" ref="H13:H35" si="3">G13*9000/100000</f>
        <v>30.6</v>
      </c>
      <c r="I13" s="516">
        <f t="shared" ref="I13:I35" si="4">G13*6000/100000</f>
        <v>20.399999999999999</v>
      </c>
      <c r="J13" s="516">
        <f t="shared" ref="J13:J35" si="5">SUM(H13:I13)</f>
        <v>51</v>
      </c>
      <c r="K13" s="499">
        <v>98</v>
      </c>
      <c r="L13" s="516">
        <f t="shared" ref="L13:L35" si="6">K13*12000/100000</f>
        <v>11.76</v>
      </c>
      <c r="M13" s="516">
        <f t="shared" ref="M13:M35" si="7">K13*8000/100000</f>
        <v>7.84</v>
      </c>
      <c r="N13" s="516">
        <f t="shared" ref="N13:N35" si="8">SUM(L13:M13)</f>
        <v>19.600000000000001</v>
      </c>
      <c r="O13" s="499">
        <v>18</v>
      </c>
      <c r="P13" s="516">
        <f t="shared" ref="P13:P35" si="9">O13*15000/100000</f>
        <v>2.7</v>
      </c>
      <c r="Q13" s="516">
        <f t="shared" ref="Q13:Q35" si="10">O13*10000/100000</f>
        <v>1.8</v>
      </c>
      <c r="R13" s="516">
        <f t="shared" ref="R13:R35" si="11">SUM(P13:Q13)</f>
        <v>4.5</v>
      </c>
      <c r="S13" s="74">
        <f t="shared" ref="S13:S35" si="12">C13+G13+K13+O13</f>
        <v>677</v>
      </c>
      <c r="T13" s="516">
        <f t="shared" ref="T13:T35" si="13">D13+H13+L13+P13</f>
        <v>58.32</v>
      </c>
      <c r="U13" s="516">
        <f t="shared" ref="U13:U35" si="14">E13+I13+M13+Q13</f>
        <v>38.879999999999995</v>
      </c>
      <c r="V13" s="516">
        <f t="shared" ref="V13:V35" si="15">T13+U13</f>
        <v>97.199999999999989</v>
      </c>
      <c r="Y13" s="68">
        <f>1183/24</f>
        <v>49.291666666666664</v>
      </c>
      <c r="AA13" s="68">
        <v>98</v>
      </c>
    </row>
    <row r="14" spans="1:27" x14ac:dyDescent="0.25">
      <c r="A14" s="109">
        <v>3</v>
      </c>
      <c r="B14" s="351" t="s">
        <v>877</v>
      </c>
      <c r="C14" s="499">
        <v>35</v>
      </c>
      <c r="D14" s="516">
        <f t="shared" si="0"/>
        <v>2.1</v>
      </c>
      <c r="E14" s="516">
        <f t="shared" si="1"/>
        <v>1.4</v>
      </c>
      <c r="F14" s="516">
        <f t="shared" si="2"/>
        <v>3.5</v>
      </c>
      <c r="G14" s="499">
        <v>107</v>
      </c>
      <c r="H14" s="516">
        <f t="shared" si="3"/>
        <v>9.6300000000000008</v>
      </c>
      <c r="I14" s="516">
        <f t="shared" si="4"/>
        <v>6.42</v>
      </c>
      <c r="J14" s="516">
        <f t="shared" si="5"/>
        <v>16.05</v>
      </c>
      <c r="K14" s="499">
        <v>73</v>
      </c>
      <c r="L14" s="516">
        <f t="shared" si="6"/>
        <v>8.76</v>
      </c>
      <c r="M14" s="516">
        <f t="shared" si="7"/>
        <v>5.84</v>
      </c>
      <c r="N14" s="516">
        <f t="shared" si="8"/>
        <v>14.6</v>
      </c>
      <c r="O14" s="499">
        <v>83</v>
      </c>
      <c r="P14" s="516">
        <f t="shared" si="9"/>
        <v>12.45</v>
      </c>
      <c r="Q14" s="516">
        <f t="shared" si="10"/>
        <v>8.3000000000000007</v>
      </c>
      <c r="R14" s="516">
        <f t="shared" si="11"/>
        <v>20.75</v>
      </c>
      <c r="S14" s="74">
        <f t="shared" si="12"/>
        <v>298</v>
      </c>
      <c r="T14" s="516">
        <f t="shared" si="13"/>
        <v>32.94</v>
      </c>
      <c r="U14" s="516">
        <f t="shared" si="14"/>
        <v>21.96</v>
      </c>
      <c r="V14" s="516">
        <f t="shared" si="15"/>
        <v>54.9</v>
      </c>
      <c r="AA14" s="68">
        <v>73</v>
      </c>
    </row>
    <row r="15" spans="1:27" x14ac:dyDescent="0.25">
      <c r="A15" s="109">
        <v>4</v>
      </c>
      <c r="B15" s="351" t="s">
        <v>878</v>
      </c>
      <c r="C15" s="499">
        <v>328</v>
      </c>
      <c r="D15" s="516">
        <f t="shared" si="0"/>
        <v>19.68</v>
      </c>
      <c r="E15" s="516">
        <f t="shared" si="1"/>
        <v>13.12</v>
      </c>
      <c r="F15" s="516">
        <f t="shared" si="2"/>
        <v>32.799999999999997</v>
      </c>
      <c r="G15" s="499">
        <v>538</v>
      </c>
      <c r="H15" s="516">
        <f t="shared" si="3"/>
        <v>48.42</v>
      </c>
      <c r="I15" s="516">
        <f t="shared" si="4"/>
        <v>32.28</v>
      </c>
      <c r="J15" s="516">
        <f t="shared" si="5"/>
        <v>80.7</v>
      </c>
      <c r="K15" s="499">
        <v>316</v>
      </c>
      <c r="L15" s="516">
        <f t="shared" si="6"/>
        <v>37.92</v>
      </c>
      <c r="M15" s="516">
        <f t="shared" si="7"/>
        <v>25.28</v>
      </c>
      <c r="N15" s="516">
        <f t="shared" si="8"/>
        <v>63.2</v>
      </c>
      <c r="O15" s="499">
        <v>145</v>
      </c>
      <c r="P15" s="516">
        <f t="shared" si="9"/>
        <v>21.75</v>
      </c>
      <c r="Q15" s="516">
        <f t="shared" si="10"/>
        <v>14.5</v>
      </c>
      <c r="R15" s="516">
        <f t="shared" si="11"/>
        <v>36.25</v>
      </c>
      <c r="S15" s="74">
        <f t="shared" si="12"/>
        <v>1327</v>
      </c>
      <c r="T15" s="516">
        <f t="shared" si="13"/>
        <v>127.77</v>
      </c>
      <c r="U15" s="516">
        <f t="shared" si="14"/>
        <v>85.18</v>
      </c>
      <c r="V15" s="516">
        <f t="shared" si="15"/>
        <v>212.95</v>
      </c>
      <c r="AA15" s="68">
        <f t="shared" ref="AA15:AA35" si="16">K15+13</f>
        <v>329</v>
      </c>
    </row>
    <row r="16" spans="1:27" x14ac:dyDescent="0.25">
      <c r="A16" s="109">
        <v>5</v>
      </c>
      <c r="B16" s="351" t="s">
        <v>879</v>
      </c>
      <c r="C16" s="499">
        <v>245</v>
      </c>
      <c r="D16" s="516">
        <f t="shared" si="0"/>
        <v>14.7</v>
      </c>
      <c r="E16" s="516">
        <f t="shared" si="1"/>
        <v>9.8000000000000007</v>
      </c>
      <c r="F16" s="516">
        <f t="shared" si="2"/>
        <v>24.5</v>
      </c>
      <c r="G16" s="499">
        <v>366</v>
      </c>
      <c r="H16" s="516">
        <f t="shared" si="3"/>
        <v>32.94</v>
      </c>
      <c r="I16" s="516">
        <f t="shared" si="4"/>
        <v>21.96</v>
      </c>
      <c r="J16" s="516">
        <f t="shared" si="5"/>
        <v>54.9</v>
      </c>
      <c r="K16" s="499">
        <v>90</v>
      </c>
      <c r="L16" s="516">
        <f t="shared" si="6"/>
        <v>10.8</v>
      </c>
      <c r="M16" s="516">
        <f t="shared" si="7"/>
        <v>7.2</v>
      </c>
      <c r="N16" s="516">
        <f t="shared" si="8"/>
        <v>18</v>
      </c>
      <c r="O16" s="499">
        <v>75</v>
      </c>
      <c r="P16" s="516">
        <f t="shared" si="9"/>
        <v>11.25</v>
      </c>
      <c r="Q16" s="516">
        <f t="shared" si="10"/>
        <v>7.5</v>
      </c>
      <c r="R16" s="516">
        <f t="shared" si="11"/>
        <v>18.75</v>
      </c>
      <c r="S16" s="74">
        <f t="shared" si="12"/>
        <v>776</v>
      </c>
      <c r="T16" s="516">
        <f t="shared" si="13"/>
        <v>69.69</v>
      </c>
      <c r="U16" s="516">
        <f t="shared" si="14"/>
        <v>46.46</v>
      </c>
      <c r="V16" s="516">
        <f t="shared" si="15"/>
        <v>116.15</v>
      </c>
      <c r="AA16" s="68">
        <v>90</v>
      </c>
    </row>
    <row r="17" spans="1:27" x14ac:dyDescent="0.25">
      <c r="A17" s="109">
        <v>6</v>
      </c>
      <c r="B17" s="351" t="s">
        <v>880</v>
      </c>
      <c r="C17" s="499">
        <v>473</v>
      </c>
      <c r="D17" s="516">
        <f t="shared" si="0"/>
        <v>28.38</v>
      </c>
      <c r="E17" s="516">
        <f t="shared" si="1"/>
        <v>18.920000000000002</v>
      </c>
      <c r="F17" s="516">
        <f t="shared" si="2"/>
        <v>47.3</v>
      </c>
      <c r="G17" s="499">
        <v>571</v>
      </c>
      <c r="H17" s="516">
        <f t="shared" si="3"/>
        <v>51.39</v>
      </c>
      <c r="I17" s="516">
        <f t="shared" si="4"/>
        <v>34.26</v>
      </c>
      <c r="J17" s="516">
        <f t="shared" si="5"/>
        <v>85.65</v>
      </c>
      <c r="K17" s="499">
        <v>236</v>
      </c>
      <c r="L17" s="516">
        <f t="shared" si="6"/>
        <v>28.32</v>
      </c>
      <c r="M17" s="516">
        <f t="shared" si="7"/>
        <v>18.88</v>
      </c>
      <c r="N17" s="516">
        <f t="shared" si="8"/>
        <v>47.2</v>
      </c>
      <c r="O17" s="499">
        <v>148</v>
      </c>
      <c r="P17" s="516">
        <f t="shared" si="9"/>
        <v>22.2</v>
      </c>
      <c r="Q17" s="516">
        <f t="shared" si="10"/>
        <v>14.8</v>
      </c>
      <c r="R17" s="516">
        <f t="shared" si="11"/>
        <v>37</v>
      </c>
      <c r="S17" s="74">
        <f t="shared" si="12"/>
        <v>1428</v>
      </c>
      <c r="T17" s="516">
        <f t="shared" si="13"/>
        <v>130.29</v>
      </c>
      <c r="U17" s="516">
        <f t="shared" si="14"/>
        <v>86.86</v>
      </c>
      <c r="V17" s="516">
        <f t="shared" si="15"/>
        <v>217.14999999999998</v>
      </c>
      <c r="AA17" s="68">
        <f>K17+13</f>
        <v>249</v>
      </c>
    </row>
    <row r="18" spans="1:27" x14ac:dyDescent="0.25">
      <c r="A18" s="109">
        <v>7</v>
      </c>
      <c r="B18" s="351" t="s">
        <v>923</v>
      </c>
      <c r="C18" s="499">
        <v>445</v>
      </c>
      <c r="D18" s="516">
        <f t="shared" si="0"/>
        <v>26.7</v>
      </c>
      <c r="E18" s="516">
        <f t="shared" si="1"/>
        <v>17.8</v>
      </c>
      <c r="F18" s="516">
        <f t="shared" si="2"/>
        <v>44.5</v>
      </c>
      <c r="G18" s="499">
        <v>596</v>
      </c>
      <c r="H18" s="516">
        <f t="shared" si="3"/>
        <v>53.64</v>
      </c>
      <c r="I18" s="516">
        <f t="shared" si="4"/>
        <v>35.76</v>
      </c>
      <c r="J18" s="516">
        <f t="shared" si="5"/>
        <v>89.4</v>
      </c>
      <c r="K18" s="499">
        <v>145</v>
      </c>
      <c r="L18" s="516">
        <f t="shared" si="6"/>
        <v>17.399999999999999</v>
      </c>
      <c r="M18" s="516">
        <f t="shared" si="7"/>
        <v>11.6</v>
      </c>
      <c r="N18" s="516">
        <f t="shared" si="8"/>
        <v>29</v>
      </c>
      <c r="O18" s="499">
        <v>3</v>
      </c>
      <c r="P18" s="516">
        <f t="shared" si="9"/>
        <v>0.45</v>
      </c>
      <c r="Q18" s="516">
        <f t="shared" si="10"/>
        <v>0.3</v>
      </c>
      <c r="R18" s="516">
        <f t="shared" si="11"/>
        <v>0.75</v>
      </c>
      <c r="S18" s="74">
        <f t="shared" si="12"/>
        <v>1189</v>
      </c>
      <c r="T18" s="516">
        <f t="shared" si="13"/>
        <v>98.190000000000012</v>
      </c>
      <c r="U18" s="516">
        <f t="shared" si="14"/>
        <v>65.459999999999994</v>
      </c>
      <c r="V18" s="516">
        <f t="shared" si="15"/>
        <v>163.65</v>
      </c>
      <c r="AA18" s="68">
        <v>145</v>
      </c>
    </row>
    <row r="19" spans="1:27" x14ac:dyDescent="0.25">
      <c r="A19" s="109">
        <v>8</v>
      </c>
      <c r="B19" s="351" t="s">
        <v>882</v>
      </c>
      <c r="C19" s="499">
        <v>273</v>
      </c>
      <c r="D19" s="516">
        <f t="shared" si="0"/>
        <v>16.38</v>
      </c>
      <c r="E19" s="516">
        <f t="shared" si="1"/>
        <v>10.92</v>
      </c>
      <c r="F19" s="516">
        <f t="shared" si="2"/>
        <v>27.299999999999997</v>
      </c>
      <c r="G19" s="499">
        <v>1066</v>
      </c>
      <c r="H19" s="516">
        <f t="shared" si="3"/>
        <v>95.94</v>
      </c>
      <c r="I19" s="516">
        <f t="shared" si="4"/>
        <v>63.96</v>
      </c>
      <c r="J19" s="516">
        <f t="shared" si="5"/>
        <v>159.9</v>
      </c>
      <c r="K19" s="499">
        <v>268</v>
      </c>
      <c r="L19" s="516">
        <f t="shared" si="6"/>
        <v>32.159999999999997</v>
      </c>
      <c r="M19" s="516">
        <f t="shared" si="7"/>
        <v>21.44</v>
      </c>
      <c r="N19" s="516">
        <f t="shared" si="8"/>
        <v>53.599999999999994</v>
      </c>
      <c r="O19" s="499">
        <v>267</v>
      </c>
      <c r="P19" s="516">
        <f t="shared" si="9"/>
        <v>40.049999999999997</v>
      </c>
      <c r="Q19" s="516">
        <f t="shared" si="10"/>
        <v>26.7</v>
      </c>
      <c r="R19" s="516">
        <f t="shared" si="11"/>
        <v>66.75</v>
      </c>
      <c r="S19" s="74">
        <f t="shared" si="12"/>
        <v>1874</v>
      </c>
      <c r="T19" s="516">
        <f t="shared" si="13"/>
        <v>184.52999999999997</v>
      </c>
      <c r="U19" s="516">
        <f t="shared" si="14"/>
        <v>123.02</v>
      </c>
      <c r="V19" s="516">
        <f t="shared" si="15"/>
        <v>307.54999999999995</v>
      </c>
      <c r="AA19" s="68">
        <f t="shared" si="16"/>
        <v>281</v>
      </c>
    </row>
    <row r="20" spans="1:27" x14ac:dyDescent="0.25">
      <c r="A20" s="109">
        <v>9</v>
      </c>
      <c r="B20" s="351" t="s">
        <v>883</v>
      </c>
      <c r="C20" s="499">
        <v>663</v>
      </c>
      <c r="D20" s="516">
        <f t="shared" si="0"/>
        <v>39.78</v>
      </c>
      <c r="E20" s="516">
        <f t="shared" si="1"/>
        <v>26.52</v>
      </c>
      <c r="F20" s="516">
        <f t="shared" si="2"/>
        <v>66.3</v>
      </c>
      <c r="G20" s="499">
        <v>1261</v>
      </c>
      <c r="H20" s="516">
        <f t="shared" si="3"/>
        <v>113.49</v>
      </c>
      <c r="I20" s="516">
        <f t="shared" si="4"/>
        <v>75.66</v>
      </c>
      <c r="J20" s="516">
        <f t="shared" si="5"/>
        <v>189.14999999999998</v>
      </c>
      <c r="K20" s="499">
        <v>354</v>
      </c>
      <c r="L20" s="516">
        <f t="shared" si="6"/>
        <v>42.48</v>
      </c>
      <c r="M20" s="516">
        <f t="shared" si="7"/>
        <v>28.32</v>
      </c>
      <c r="N20" s="516">
        <f t="shared" si="8"/>
        <v>70.8</v>
      </c>
      <c r="O20" s="500">
        <v>29</v>
      </c>
      <c r="P20" s="516">
        <f t="shared" si="9"/>
        <v>4.3499999999999996</v>
      </c>
      <c r="Q20" s="516">
        <f t="shared" si="10"/>
        <v>2.9</v>
      </c>
      <c r="R20" s="516">
        <f t="shared" si="11"/>
        <v>7.25</v>
      </c>
      <c r="S20" s="74">
        <f t="shared" si="12"/>
        <v>2307</v>
      </c>
      <c r="T20" s="516">
        <f t="shared" si="13"/>
        <v>200.09999999999997</v>
      </c>
      <c r="U20" s="516">
        <f t="shared" si="14"/>
        <v>133.4</v>
      </c>
      <c r="V20" s="516">
        <f t="shared" si="15"/>
        <v>333.5</v>
      </c>
      <c r="AA20" s="68">
        <f t="shared" si="16"/>
        <v>367</v>
      </c>
    </row>
    <row r="21" spans="1:27" x14ac:dyDescent="0.25">
      <c r="A21" s="109">
        <v>10</v>
      </c>
      <c r="B21" s="351" t="s">
        <v>884</v>
      </c>
      <c r="C21" s="499">
        <v>79</v>
      </c>
      <c r="D21" s="516">
        <f t="shared" si="0"/>
        <v>4.74</v>
      </c>
      <c r="E21" s="516">
        <f t="shared" si="1"/>
        <v>3.16</v>
      </c>
      <c r="F21" s="516">
        <f t="shared" si="2"/>
        <v>7.9</v>
      </c>
      <c r="G21" s="499">
        <v>466</v>
      </c>
      <c r="H21" s="516">
        <f t="shared" si="3"/>
        <v>41.94</v>
      </c>
      <c r="I21" s="516">
        <f t="shared" si="4"/>
        <v>27.96</v>
      </c>
      <c r="J21" s="516">
        <f t="shared" si="5"/>
        <v>69.900000000000006</v>
      </c>
      <c r="K21" s="499">
        <v>162</v>
      </c>
      <c r="L21" s="516">
        <f t="shared" si="6"/>
        <v>19.440000000000001</v>
      </c>
      <c r="M21" s="516">
        <f t="shared" si="7"/>
        <v>12.96</v>
      </c>
      <c r="N21" s="516">
        <f t="shared" si="8"/>
        <v>32.400000000000006</v>
      </c>
      <c r="O21" s="499">
        <v>138</v>
      </c>
      <c r="P21" s="516">
        <f t="shared" si="9"/>
        <v>20.7</v>
      </c>
      <c r="Q21" s="516">
        <f t="shared" si="10"/>
        <v>13.8</v>
      </c>
      <c r="R21" s="516">
        <f t="shared" si="11"/>
        <v>34.5</v>
      </c>
      <c r="S21" s="74">
        <f t="shared" si="12"/>
        <v>845</v>
      </c>
      <c r="T21" s="516">
        <f t="shared" si="13"/>
        <v>86.820000000000007</v>
      </c>
      <c r="U21" s="516">
        <f t="shared" si="14"/>
        <v>57.879999999999995</v>
      </c>
      <c r="V21" s="516">
        <f t="shared" si="15"/>
        <v>144.69999999999999</v>
      </c>
      <c r="AA21" s="68">
        <v>162</v>
      </c>
    </row>
    <row r="22" spans="1:27" x14ac:dyDescent="0.25">
      <c r="A22" s="109">
        <v>11</v>
      </c>
      <c r="B22" s="351" t="s">
        <v>885</v>
      </c>
      <c r="C22" s="499">
        <v>34</v>
      </c>
      <c r="D22" s="516">
        <f t="shared" si="0"/>
        <v>2.04</v>
      </c>
      <c r="E22" s="516">
        <f t="shared" si="1"/>
        <v>1.36</v>
      </c>
      <c r="F22" s="516">
        <f t="shared" si="2"/>
        <v>3.4000000000000004</v>
      </c>
      <c r="G22" s="499">
        <v>676</v>
      </c>
      <c r="H22" s="516">
        <f t="shared" si="3"/>
        <v>60.84</v>
      </c>
      <c r="I22" s="516">
        <f t="shared" si="4"/>
        <v>40.56</v>
      </c>
      <c r="J22" s="516">
        <f t="shared" si="5"/>
        <v>101.4</v>
      </c>
      <c r="K22" s="499">
        <v>213</v>
      </c>
      <c r="L22" s="516">
        <f t="shared" si="6"/>
        <v>25.56</v>
      </c>
      <c r="M22" s="516">
        <f t="shared" si="7"/>
        <v>17.04</v>
      </c>
      <c r="N22" s="516">
        <f t="shared" si="8"/>
        <v>42.599999999999994</v>
      </c>
      <c r="O22" s="499">
        <v>305</v>
      </c>
      <c r="P22" s="516">
        <f t="shared" si="9"/>
        <v>45.75</v>
      </c>
      <c r="Q22" s="516">
        <f t="shared" si="10"/>
        <v>30.5</v>
      </c>
      <c r="R22" s="516">
        <f t="shared" si="11"/>
        <v>76.25</v>
      </c>
      <c r="S22" s="74">
        <f t="shared" si="12"/>
        <v>1228</v>
      </c>
      <c r="T22" s="516">
        <f t="shared" si="13"/>
        <v>134.19</v>
      </c>
      <c r="U22" s="516">
        <f t="shared" si="14"/>
        <v>89.460000000000008</v>
      </c>
      <c r="V22" s="516">
        <f t="shared" si="15"/>
        <v>223.65</v>
      </c>
      <c r="AA22" s="68">
        <f t="shared" si="16"/>
        <v>226</v>
      </c>
    </row>
    <row r="23" spans="1:27" x14ac:dyDescent="0.25">
      <c r="A23" s="109">
        <v>12</v>
      </c>
      <c r="B23" s="351" t="s">
        <v>886</v>
      </c>
      <c r="C23" s="499">
        <v>179</v>
      </c>
      <c r="D23" s="516">
        <f t="shared" si="0"/>
        <v>10.74</v>
      </c>
      <c r="E23" s="516">
        <f t="shared" si="1"/>
        <v>7.16</v>
      </c>
      <c r="F23" s="516">
        <f t="shared" si="2"/>
        <v>17.899999999999999</v>
      </c>
      <c r="G23" s="499">
        <v>679</v>
      </c>
      <c r="H23" s="516">
        <f t="shared" si="3"/>
        <v>61.11</v>
      </c>
      <c r="I23" s="516">
        <f t="shared" si="4"/>
        <v>40.74</v>
      </c>
      <c r="J23" s="516">
        <f t="shared" si="5"/>
        <v>101.85</v>
      </c>
      <c r="K23" s="499">
        <v>240</v>
      </c>
      <c r="L23" s="516">
        <f t="shared" si="6"/>
        <v>28.8</v>
      </c>
      <c r="M23" s="516">
        <f t="shared" si="7"/>
        <v>19.2</v>
      </c>
      <c r="N23" s="516">
        <f t="shared" si="8"/>
        <v>48</v>
      </c>
      <c r="O23" s="500">
        <v>189</v>
      </c>
      <c r="P23" s="516">
        <f t="shared" si="9"/>
        <v>28.35</v>
      </c>
      <c r="Q23" s="516">
        <f t="shared" si="10"/>
        <v>18.899999999999999</v>
      </c>
      <c r="R23" s="516">
        <f t="shared" si="11"/>
        <v>47.25</v>
      </c>
      <c r="S23" s="74">
        <f t="shared" si="12"/>
        <v>1287</v>
      </c>
      <c r="T23" s="516">
        <f t="shared" si="13"/>
        <v>129</v>
      </c>
      <c r="U23" s="516">
        <f t="shared" si="14"/>
        <v>86</v>
      </c>
      <c r="V23" s="516">
        <f t="shared" si="15"/>
        <v>215</v>
      </c>
      <c r="AA23" s="68">
        <f t="shared" si="16"/>
        <v>253</v>
      </c>
    </row>
    <row r="24" spans="1:27" x14ac:dyDescent="0.25">
      <c r="A24" s="109">
        <v>13</v>
      </c>
      <c r="B24" s="351" t="s">
        <v>887</v>
      </c>
      <c r="C24" s="499">
        <v>31</v>
      </c>
      <c r="D24" s="516">
        <f t="shared" si="0"/>
        <v>1.86</v>
      </c>
      <c r="E24" s="516">
        <f t="shared" si="1"/>
        <v>1.24</v>
      </c>
      <c r="F24" s="516">
        <f t="shared" si="2"/>
        <v>3.1</v>
      </c>
      <c r="G24" s="499">
        <v>172</v>
      </c>
      <c r="H24" s="516">
        <f t="shared" si="3"/>
        <v>15.48</v>
      </c>
      <c r="I24" s="516">
        <f t="shared" si="4"/>
        <v>10.32</v>
      </c>
      <c r="J24" s="516">
        <f t="shared" si="5"/>
        <v>25.8</v>
      </c>
      <c r="K24" s="499">
        <v>83</v>
      </c>
      <c r="L24" s="516">
        <f t="shared" si="6"/>
        <v>9.9600000000000009</v>
      </c>
      <c r="M24" s="516">
        <f t="shared" si="7"/>
        <v>6.64</v>
      </c>
      <c r="N24" s="516">
        <f t="shared" si="8"/>
        <v>16.600000000000001</v>
      </c>
      <c r="O24" s="499">
        <v>110</v>
      </c>
      <c r="P24" s="516">
        <f t="shared" si="9"/>
        <v>16.5</v>
      </c>
      <c r="Q24" s="516">
        <f t="shared" si="10"/>
        <v>11</v>
      </c>
      <c r="R24" s="516">
        <f t="shared" si="11"/>
        <v>27.5</v>
      </c>
      <c r="S24" s="74">
        <f t="shared" si="12"/>
        <v>396</v>
      </c>
      <c r="T24" s="516">
        <f t="shared" si="13"/>
        <v>43.8</v>
      </c>
      <c r="U24" s="516">
        <f t="shared" si="14"/>
        <v>29.2</v>
      </c>
      <c r="V24" s="516">
        <f t="shared" si="15"/>
        <v>73</v>
      </c>
      <c r="AA24" s="68">
        <v>83</v>
      </c>
    </row>
    <row r="25" spans="1:27" x14ac:dyDescent="0.25">
      <c r="A25" s="109">
        <v>14</v>
      </c>
      <c r="B25" s="351" t="s">
        <v>888</v>
      </c>
      <c r="C25" s="499">
        <v>0</v>
      </c>
      <c r="D25" s="516">
        <f t="shared" si="0"/>
        <v>0</v>
      </c>
      <c r="E25" s="516">
        <f t="shared" si="1"/>
        <v>0</v>
      </c>
      <c r="F25" s="516">
        <f t="shared" si="2"/>
        <v>0</v>
      </c>
      <c r="G25" s="499">
        <v>219</v>
      </c>
      <c r="H25" s="516">
        <f t="shared" si="3"/>
        <v>19.71</v>
      </c>
      <c r="I25" s="516">
        <f t="shared" si="4"/>
        <v>13.14</v>
      </c>
      <c r="J25" s="516">
        <f t="shared" si="5"/>
        <v>32.85</v>
      </c>
      <c r="K25" s="499">
        <v>137</v>
      </c>
      <c r="L25" s="516">
        <f t="shared" si="6"/>
        <v>16.440000000000001</v>
      </c>
      <c r="M25" s="516">
        <f t="shared" si="7"/>
        <v>10.96</v>
      </c>
      <c r="N25" s="516">
        <f t="shared" si="8"/>
        <v>27.400000000000002</v>
      </c>
      <c r="O25" s="499">
        <v>111</v>
      </c>
      <c r="P25" s="516">
        <f t="shared" si="9"/>
        <v>16.649999999999999</v>
      </c>
      <c r="Q25" s="516">
        <f t="shared" si="10"/>
        <v>11.1</v>
      </c>
      <c r="R25" s="516">
        <f t="shared" si="11"/>
        <v>27.75</v>
      </c>
      <c r="S25" s="74">
        <f t="shared" si="12"/>
        <v>467</v>
      </c>
      <c r="T25" s="516">
        <f t="shared" si="13"/>
        <v>52.800000000000004</v>
      </c>
      <c r="U25" s="516">
        <f t="shared" si="14"/>
        <v>35.200000000000003</v>
      </c>
      <c r="V25" s="516">
        <f t="shared" si="15"/>
        <v>88</v>
      </c>
      <c r="AA25" s="68">
        <v>137</v>
      </c>
    </row>
    <row r="26" spans="1:27" x14ac:dyDescent="0.25">
      <c r="A26" s="109">
        <v>15</v>
      </c>
      <c r="B26" s="351" t="s">
        <v>924</v>
      </c>
      <c r="C26" s="499">
        <v>112</v>
      </c>
      <c r="D26" s="516">
        <f t="shared" si="0"/>
        <v>6.72</v>
      </c>
      <c r="E26" s="516">
        <f t="shared" si="1"/>
        <v>4.4800000000000004</v>
      </c>
      <c r="F26" s="516">
        <f t="shared" si="2"/>
        <v>11.2</v>
      </c>
      <c r="G26" s="499">
        <v>989</v>
      </c>
      <c r="H26" s="516">
        <f t="shared" si="3"/>
        <v>89.01</v>
      </c>
      <c r="I26" s="516">
        <f t="shared" si="4"/>
        <v>59.34</v>
      </c>
      <c r="J26" s="516">
        <f t="shared" si="5"/>
        <v>148.35000000000002</v>
      </c>
      <c r="K26" s="499">
        <v>232</v>
      </c>
      <c r="L26" s="516">
        <f t="shared" si="6"/>
        <v>27.84</v>
      </c>
      <c r="M26" s="516">
        <f t="shared" si="7"/>
        <v>18.559999999999999</v>
      </c>
      <c r="N26" s="516">
        <f t="shared" si="8"/>
        <v>46.4</v>
      </c>
      <c r="O26" s="499">
        <v>14</v>
      </c>
      <c r="P26" s="516">
        <f t="shared" si="9"/>
        <v>2.1</v>
      </c>
      <c r="Q26" s="516">
        <f t="shared" si="10"/>
        <v>1.4</v>
      </c>
      <c r="R26" s="516">
        <f t="shared" si="11"/>
        <v>3.5</v>
      </c>
      <c r="S26" s="74">
        <f t="shared" si="12"/>
        <v>1347</v>
      </c>
      <c r="T26" s="516">
        <f t="shared" si="13"/>
        <v>125.67</v>
      </c>
      <c r="U26" s="516">
        <f t="shared" si="14"/>
        <v>83.780000000000015</v>
      </c>
      <c r="V26" s="516">
        <f t="shared" si="15"/>
        <v>209.45000000000002</v>
      </c>
      <c r="AA26" s="68">
        <v>232</v>
      </c>
    </row>
    <row r="27" spans="1:27" x14ac:dyDescent="0.25">
      <c r="A27" s="109">
        <v>16</v>
      </c>
      <c r="B27" s="351" t="s">
        <v>890</v>
      </c>
      <c r="C27" s="499">
        <v>456</v>
      </c>
      <c r="D27" s="516">
        <f t="shared" si="0"/>
        <v>27.36</v>
      </c>
      <c r="E27" s="516">
        <f t="shared" si="1"/>
        <v>18.239999999999998</v>
      </c>
      <c r="F27" s="516">
        <f t="shared" si="2"/>
        <v>45.599999999999994</v>
      </c>
      <c r="G27" s="499">
        <v>1634</v>
      </c>
      <c r="H27" s="516">
        <f t="shared" si="3"/>
        <v>147.06</v>
      </c>
      <c r="I27" s="516">
        <f t="shared" si="4"/>
        <v>98.04</v>
      </c>
      <c r="J27" s="516">
        <f t="shared" si="5"/>
        <v>245.10000000000002</v>
      </c>
      <c r="K27" s="499">
        <v>544</v>
      </c>
      <c r="L27" s="516">
        <f t="shared" si="6"/>
        <v>65.28</v>
      </c>
      <c r="M27" s="516">
        <f t="shared" si="7"/>
        <v>43.52</v>
      </c>
      <c r="N27" s="516">
        <f t="shared" si="8"/>
        <v>108.80000000000001</v>
      </c>
      <c r="O27" s="499">
        <v>310</v>
      </c>
      <c r="P27" s="516">
        <f t="shared" si="9"/>
        <v>46.5</v>
      </c>
      <c r="Q27" s="516">
        <f t="shared" si="10"/>
        <v>31</v>
      </c>
      <c r="R27" s="516">
        <f t="shared" si="11"/>
        <v>77.5</v>
      </c>
      <c r="S27" s="74">
        <f t="shared" si="12"/>
        <v>2944</v>
      </c>
      <c r="T27" s="516">
        <f t="shared" si="13"/>
        <v>286.20000000000005</v>
      </c>
      <c r="U27" s="516">
        <f t="shared" si="14"/>
        <v>190.8</v>
      </c>
      <c r="V27" s="516">
        <f t="shared" si="15"/>
        <v>477.00000000000006</v>
      </c>
      <c r="AA27" s="68">
        <f t="shared" si="16"/>
        <v>557</v>
      </c>
    </row>
    <row r="28" spans="1:27" x14ac:dyDescent="0.25">
      <c r="A28" s="109">
        <v>17</v>
      </c>
      <c r="B28" s="351" t="s">
        <v>891</v>
      </c>
      <c r="C28" s="499">
        <v>37</v>
      </c>
      <c r="D28" s="516">
        <f t="shared" si="0"/>
        <v>2.2200000000000002</v>
      </c>
      <c r="E28" s="516">
        <f t="shared" si="1"/>
        <v>1.48</v>
      </c>
      <c r="F28" s="516">
        <f t="shared" si="2"/>
        <v>3.7</v>
      </c>
      <c r="G28" s="499">
        <v>228</v>
      </c>
      <c r="H28" s="516">
        <f t="shared" si="3"/>
        <v>20.52</v>
      </c>
      <c r="I28" s="516">
        <f t="shared" si="4"/>
        <v>13.68</v>
      </c>
      <c r="J28" s="516">
        <f t="shared" si="5"/>
        <v>34.200000000000003</v>
      </c>
      <c r="K28" s="499">
        <v>301</v>
      </c>
      <c r="L28" s="516">
        <f t="shared" si="6"/>
        <v>36.119999999999997</v>
      </c>
      <c r="M28" s="516">
        <f t="shared" si="7"/>
        <v>24.08</v>
      </c>
      <c r="N28" s="516">
        <f t="shared" si="8"/>
        <v>60.199999999999996</v>
      </c>
      <c r="O28" s="499">
        <v>266</v>
      </c>
      <c r="P28" s="516">
        <f t="shared" si="9"/>
        <v>39.9</v>
      </c>
      <c r="Q28" s="516">
        <f t="shared" si="10"/>
        <v>26.6</v>
      </c>
      <c r="R28" s="516">
        <f t="shared" si="11"/>
        <v>66.5</v>
      </c>
      <c r="S28" s="74">
        <f t="shared" si="12"/>
        <v>832</v>
      </c>
      <c r="T28" s="516">
        <f t="shared" si="13"/>
        <v>98.759999999999991</v>
      </c>
      <c r="U28" s="516">
        <f t="shared" si="14"/>
        <v>65.84</v>
      </c>
      <c r="V28" s="516">
        <f t="shared" si="15"/>
        <v>164.6</v>
      </c>
      <c r="AA28" s="68">
        <f t="shared" si="16"/>
        <v>314</v>
      </c>
    </row>
    <row r="29" spans="1:27" x14ac:dyDescent="0.25">
      <c r="A29" s="109">
        <v>18</v>
      </c>
      <c r="B29" s="351" t="s">
        <v>892</v>
      </c>
      <c r="C29" s="499">
        <v>426</v>
      </c>
      <c r="D29" s="516">
        <f t="shared" si="0"/>
        <v>25.56</v>
      </c>
      <c r="E29" s="516">
        <f t="shared" si="1"/>
        <v>17.04</v>
      </c>
      <c r="F29" s="516">
        <f t="shared" si="2"/>
        <v>42.599999999999994</v>
      </c>
      <c r="G29" s="499">
        <v>493</v>
      </c>
      <c r="H29" s="516">
        <f t="shared" si="3"/>
        <v>44.37</v>
      </c>
      <c r="I29" s="516">
        <f t="shared" si="4"/>
        <v>29.58</v>
      </c>
      <c r="J29" s="516">
        <f t="shared" si="5"/>
        <v>73.949999999999989</v>
      </c>
      <c r="K29" s="499">
        <v>204</v>
      </c>
      <c r="L29" s="516">
        <f t="shared" si="6"/>
        <v>24.48</v>
      </c>
      <c r="M29" s="516">
        <f t="shared" si="7"/>
        <v>16.32</v>
      </c>
      <c r="N29" s="516">
        <f t="shared" si="8"/>
        <v>40.799999999999997</v>
      </c>
      <c r="O29" s="499">
        <v>207</v>
      </c>
      <c r="P29" s="516">
        <f t="shared" si="9"/>
        <v>31.05</v>
      </c>
      <c r="Q29" s="516">
        <f t="shared" si="10"/>
        <v>20.7</v>
      </c>
      <c r="R29" s="516">
        <f t="shared" si="11"/>
        <v>51.75</v>
      </c>
      <c r="S29" s="74">
        <f t="shared" si="12"/>
        <v>1330</v>
      </c>
      <c r="T29" s="516">
        <f t="shared" si="13"/>
        <v>125.46</v>
      </c>
      <c r="U29" s="516">
        <f t="shared" si="14"/>
        <v>83.64</v>
      </c>
      <c r="V29" s="516">
        <f t="shared" si="15"/>
        <v>209.1</v>
      </c>
      <c r="AA29" s="68">
        <v>204</v>
      </c>
    </row>
    <row r="30" spans="1:27" x14ac:dyDescent="0.25">
      <c r="A30" s="109">
        <v>19</v>
      </c>
      <c r="B30" s="351" t="s">
        <v>893</v>
      </c>
      <c r="C30" s="499">
        <v>835</v>
      </c>
      <c r="D30" s="516">
        <f t="shared" si="0"/>
        <v>50.1</v>
      </c>
      <c r="E30" s="516">
        <f t="shared" si="1"/>
        <v>33.4</v>
      </c>
      <c r="F30" s="516">
        <f t="shared" si="2"/>
        <v>83.5</v>
      </c>
      <c r="G30" s="499">
        <v>1068</v>
      </c>
      <c r="H30" s="516">
        <f t="shared" si="3"/>
        <v>96.12</v>
      </c>
      <c r="I30" s="516">
        <f t="shared" si="4"/>
        <v>64.08</v>
      </c>
      <c r="J30" s="516">
        <f t="shared" si="5"/>
        <v>160.19999999999999</v>
      </c>
      <c r="K30" s="499">
        <v>206</v>
      </c>
      <c r="L30" s="516">
        <f t="shared" si="6"/>
        <v>24.72</v>
      </c>
      <c r="M30" s="516">
        <f t="shared" si="7"/>
        <v>16.48</v>
      </c>
      <c r="N30" s="516">
        <f t="shared" si="8"/>
        <v>41.2</v>
      </c>
      <c r="O30" s="499">
        <v>13</v>
      </c>
      <c r="P30" s="516">
        <f t="shared" si="9"/>
        <v>1.95</v>
      </c>
      <c r="Q30" s="516">
        <f t="shared" si="10"/>
        <v>1.3</v>
      </c>
      <c r="R30" s="516">
        <f t="shared" si="11"/>
        <v>3.25</v>
      </c>
      <c r="S30" s="74">
        <f t="shared" si="12"/>
        <v>2122</v>
      </c>
      <c r="T30" s="516">
        <f t="shared" si="13"/>
        <v>172.89</v>
      </c>
      <c r="U30" s="516">
        <f t="shared" si="14"/>
        <v>115.25999999999999</v>
      </c>
      <c r="V30" s="516">
        <f t="shared" si="15"/>
        <v>288.14999999999998</v>
      </c>
      <c r="AA30" s="68">
        <v>206</v>
      </c>
    </row>
    <row r="31" spans="1:27" x14ac:dyDescent="0.25">
      <c r="A31" s="109">
        <v>20</v>
      </c>
      <c r="B31" s="351" t="s">
        <v>894</v>
      </c>
      <c r="C31" s="499">
        <v>154</v>
      </c>
      <c r="D31" s="516">
        <f t="shared" si="0"/>
        <v>9.24</v>
      </c>
      <c r="E31" s="516">
        <f t="shared" si="1"/>
        <v>6.16</v>
      </c>
      <c r="F31" s="516">
        <f t="shared" si="2"/>
        <v>15.4</v>
      </c>
      <c r="G31" s="499">
        <v>423</v>
      </c>
      <c r="H31" s="516">
        <f t="shared" si="3"/>
        <v>38.07</v>
      </c>
      <c r="I31" s="516">
        <f t="shared" si="4"/>
        <v>25.38</v>
      </c>
      <c r="J31" s="516">
        <f t="shared" si="5"/>
        <v>63.45</v>
      </c>
      <c r="K31" s="499">
        <v>148</v>
      </c>
      <c r="L31" s="516">
        <f t="shared" si="6"/>
        <v>17.760000000000002</v>
      </c>
      <c r="M31" s="516">
        <f t="shared" si="7"/>
        <v>11.84</v>
      </c>
      <c r="N31" s="516">
        <f t="shared" si="8"/>
        <v>29.6</v>
      </c>
      <c r="O31" s="499">
        <v>98</v>
      </c>
      <c r="P31" s="516">
        <f t="shared" si="9"/>
        <v>14.7</v>
      </c>
      <c r="Q31" s="516">
        <f t="shared" si="10"/>
        <v>9.8000000000000007</v>
      </c>
      <c r="R31" s="516">
        <f t="shared" si="11"/>
        <v>24.5</v>
      </c>
      <c r="S31" s="74">
        <f t="shared" si="12"/>
        <v>823</v>
      </c>
      <c r="T31" s="516">
        <f t="shared" si="13"/>
        <v>79.77000000000001</v>
      </c>
      <c r="U31" s="516">
        <f t="shared" si="14"/>
        <v>53.179999999999993</v>
      </c>
      <c r="V31" s="516">
        <f t="shared" si="15"/>
        <v>132.94999999999999</v>
      </c>
      <c r="AA31" s="68">
        <v>148</v>
      </c>
    </row>
    <row r="32" spans="1:27" x14ac:dyDescent="0.25">
      <c r="A32" s="109">
        <v>21</v>
      </c>
      <c r="B32" s="351" t="s">
        <v>925</v>
      </c>
      <c r="C32" s="499">
        <v>202</v>
      </c>
      <c r="D32" s="516">
        <f t="shared" si="0"/>
        <v>12.12</v>
      </c>
      <c r="E32" s="516">
        <f t="shared" si="1"/>
        <v>8.08</v>
      </c>
      <c r="F32" s="516">
        <f t="shared" si="2"/>
        <v>20.2</v>
      </c>
      <c r="G32" s="499">
        <v>584</v>
      </c>
      <c r="H32" s="516">
        <f t="shared" si="3"/>
        <v>52.56</v>
      </c>
      <c r="I32" s="516">
        <f t="shared" si="4"/>
        <v>35.04</v>
      </c>
      <c r="J32" s="516">
        <f t="shared" si="5"/>
        <v>87.6</v>
      </c>
      <c r="K32" s="499">
        <v>250</v>
      </c>
      <c r="L32" s="516">
        <f t="shared" si="6"/>
        <v>30</v>
      </c>
      <c r="M32" s="516">
        <f t="shared" si="7"/>
        <v>20</v>
      </c>
      <c r="N32" s="516">
        <f t="shared" si="8"/>
        <v>50</v>
      </c>
      <c r="O32" s="499">
        <v>58</v>
      </c>
      <c r="P32" s="516">
        <f t="shared" si="9"/>
        <v>8.6999999999999993</v>
      </c>
      <c r="Q32" s="516">
        <f t="shared" si="10"/>
        <v>5.8</v>
      </c>
      <c r="R32" s="516">
        <f t="shared" si="11"/>
        <v>14.5</v>
      </c>
      <c r="S32" s="74">
        <f t="shared" si="12"/>
        <v>1094</v>
      </c>
      <c r="T32" s="516">
        <f t="shared" si="13"/>
        <v>103.38000000000001</v>
      </c>
      <c r="U32" s="516">
        <f t="shared" si="14"/>
        <v>68.92</v>
      </c>
      <c r="V32" s="516">
        <f t="shared" si="15"/>
        <v>172.3</v>
      </c>
      <c r="AA32" s="68">
        <f t="shared" si="16"/>
        <v>263</v>
      </c>
    </row>
    <row r="33" spans="1:27" x14ac:dyDescent="0.25">
      <c r="A33" s="109">
        <v>22</v>
      </c>
      <c r="B33" s="351" t="s">
        <v>896</v>
      </c>
      <c r="C33" s="499">
        <v>78</v>
      </c>
      <c r="D33" s="516">
        <f t="shared" si="0"/>
        <v>4.68</v>
      </c>
      <c r="E33" s="516">
        <f t="shared" si="1"/>
        <v>3.12</v>
      </c>
      <c r="F33" s="516">
        <f t="shared" si="2"/>
        <v>7.8</v>
      </c>
      <c r="G33" s="499">
        <v>438</v>
      </c>
      <c r="H33" s="516">
        <f t="shared" si="3"/>
        <v>39.42</v>
      </c>
      <c r="I33" s="516">
        <f t="shared" si="4"/>
        <v>26.28</v>
      </c>
      <c r="J33" s="516">
        <f t="shared" si="5"/>
        <v>65.7</v>
      </c>
      <c r="K33" s="499">
        <v>148</v>
      </c>
      <c r="L33" s="516">
        <f t="shared" si="6"/>
        <v>17.760000000000002</v>
      </c>
      <c r="M33" s="516">
        <f t="shared" si="7"/>
        <v>11.84</v>
      </c>
      <c r="N33" s="516">
        <f t="shared" si="8"/>
        <v>29.6</v>
      </c>
      <c r="O33" s="499">
        <v>156</v>
      </c>
      <c r="P33" s="516">
        <f t="shared" si="9"/>
        <v>23.4</v>
      </c>
      <c r="Q33" s="516">
        <f t="shared" si="10"/>
        <v>15.6</v>
      </c>
      <c r="R33" s="516">
        <f t="shared" si="11"/>
        <v>39</v>
      </c>
      <c r="S33" s="74">
        <f t="shared" si="12"/>
        <v>820</v>
      </c>
      <c r="T33" s="516">
        <f t="shared" si="13"/>
        <v>85.259999999999991</v>
      </c>
      <c r="U33" s="516">
        <f t="shared" si="14"/>
        <v>56.84</v>
      </c>
      <c r="V33" s="516">
        <f t="shared" si="15"/>
        <v>142.1</v>
      </c>
      <c r="AA33" s="68">
        <v>148</v>
      </c>
    </row>
    <row r="34" spans="1:27" x14ac:dyDescent="0.25">
      <c r="A34" s="109">
        <v>23</v>
      </c>
      <c r="B34" s="351" t="s">
        <v>926</v>
      </c>
      <c r="C34" s="499">
        <v>247</v>
      </c>
      <c r="D34" s="516">
        <f t="shared" si="0"/>
        <v>14.82</v>
      </c>
      <c r="E34" s="516">
        <f t="shared" si="1"/>
        <v>9.8800000000000008</v>
      </c>
      <c r="F34" s="516">
        <f t="shared" si="2"/>
        <v>24.700000000000003</v>
      </c>
      <c r="G34" s="499">
        <v>624</v>
      </c>
      <c r="H34" s="516">
        <f t="shared" si="3"/>
        <v>56.16</v>
      </c>
      <c r="I34" s="516">
        <f t="shared" si="4"/>
        <v>37.44</v>
      </c>
      <c r="J34" s="516">
        <f t="shared" si="5"/>
        <v>93.6</v>
      </c>
      <c r="K34" s="499">
        <v>252</v>
      </c>
      <c r="L34" s="516">
        <f t="shared" si="6"/>
        <v>30.24</v>
      </c>
      <c r="M34" s="516">
        <f t="shared" si="7"/>
        <v>20.16</v>
      </c>
      <c r="N34" s="516">
        <f t="shared" si="8"/>
        <v>50.4</v>
      </c>
      <c r="O34" s="499">
        <v>225</v>
      </c>
      <c r="P34" s="516">
        <f t="shared" si="9"/>
        <v>33.75</v>
      </c>
      <c r="Q34" s="516">
        <f t="shared" si="10"/>
        <v>22.5</v>
      </c>
      <c r="R34" s="516">
        <f t="shared" si="11"/>
        <v>56.25</v>
      </c>
      <c r="S34" s="74">
        <f t="shared" si="12"/>
        <v>1348</v>
      </c>
      <c r="T34" s="516">
        <f t="shared" si="13"/>
        <v>134.96999999999997</v>
      </c>
      <c r="U34" s="516">
        <f t="shared" si="14"/>
        <v>89.98</v>
      </c>
      <c r="V34" s="516">
        <f t="shared" si="15"/>
        <v>224.95</v>
      </c>
      <c r="AA34" s="68">
        <f t="shared" si="16"/>
        <v>265</v>
      </c>
    </row>
    <row r="35" spans="1:27" x14ac:dyDescent="0.25">
      <c r="A35" s="109">
        <v>24</v>
      </c>
      <c r="B35" s="351" t="s">
        <v>898</v>
      </c>
      <c r="C35" s="499">
        <v>786</v>
      </c>
      <c r="D35" s="516">
        <f t="shared" si="0"/>
        <v>47.16</v>
      </c>
      <c r="E35" s="516">
        <f t="shared" si="1"/>
        <v>31.44</v>
      </c>
      <c r="F35" s="516">
        <f t="shared" si="2"/>
        <v>78.599999999999994</v>
      </c>
      <c r="G35" s="499">
        <v>659</v>
      </c>
      <c r="H35" s="516">
        <f t="shared" si="3"/>
        <v>59.31</v>
      </c>
      <c r="I35" s="516">
        <f t="shared" si="4"/>
        <v>39.54</v>
      </c>
      <c r="J35" s="516">
        <f t="shared" si="5"/>
        <v>98.85</v>
      </c>
      <c r="K35" s="499">
        <v>221</v>
      </c>
      <c r="L35" s="516">
        <f t="shared" si="6"/>
        <v>26.52</v>
      </c>
      <c r="M35" s="516">
        <f t="shared" si="7"/>
        <v>17.68</v>
      </c>
      <c r="N35" s="516">
        <f t="shared" si="8"/>
        <v>44.2</v>
      </c>
      <c r="O35" s="499">
        <v>87</v>
      </c>
      <c r="P35" s="516">
        <f t="shared" si="9"/>
        <v>13.05</v>
      </c>
      <c r="Q35" s="516">
        <f t="shared" si="10"/>
        <v>8.6999999999999993</v>
      </c>
      <c r="R35" s="516">
        <f t="shared" si="11"/>
        <v>21.75</v>
      </c>
      <c r="S35" s="74">
        <f t="shared" si="12"/>
        <v>1753</v>
      </c>
      <c r="T35" s="516">
        <f t="shared" si="13"/>
        <v>146.04000000000002</v>
      </c>
      <c r="U35" s="516">
        <f t="shared" si="14"/>
        <v>97.36</v>
      </c>
      <c r="V35" s="516">
        <f t="shared" si="15"/>
        <v>243.40000000000003</v>
      </c>
      <c r="AA35" s="68">
        <f t="shared" si="16"/>
        <v>234</v>
      </c>
    </row>
    <row r="36" spans="1:27" s="435" customFormat="1" x14ac:dyDescent="0.25">
      <c r="A36" s="1111" t="s">
        <v>15</v>
      </c>
      <c r="B36" s="1112"/>
      <c r="C36" s="246">
        <f>SUM(C12:C35)</f>
        <v>7073</v>
      </c>
      <c r="D36" s="517">
        <f t="shared" ref="D36:V36" si="17">SUM(D12:D35)</f>
        <v>424.38000000000011</v>
      </c>
      <c r="E36" s="517">
        <f t="shared" si="17"/>
        <v>282.92</v>
      </c>
      <c r="F36" s="517">
        <f t="shared" si="17"/>
        <v>707.3</v>
      </c>
      <c r="G36" s="246">
        <f t="shared" si="17"/>
        <v>14944</v>
      </c>
      <c r="H36" s="517">
        <f t="shared" si="17"/>
        <v>1344.96</v>
      </c>
      <c r="I36" s="517">
        <f t="shared" si="17"/>
        <v>896.63999999999987</v>
      </c>
      <c r="J36" s="517">
        <f t="shared" si="17"/>
        <v>2241.5999999999995</v>
      </c>
      <c r="K36" s="246">
        <f t="shared" si="17"/>
        <v>5184</v>
      </c>
      <c r="L36" s="517">
        <f t="shared" si="17"/>
        <v>622.07999999999993</v>
      </c>
      <c r="M36" s="517">
        <f t="shared" si="17"/>
        <v>414.71999999999997</v>
      </c>
      <c r="N36" s="517">
        <f t="shared" si="17"/>
        <v>1036.8</v>
      </c>
      <c r="O36" s="246">
        <f t="shared" si="17"/>
        <v>3296</v>
      </c>
      <c r="P36" s="517">
        <f t="shared" si="17"/>
        <v>494.39999999999992</v>
      </c>
      <c r="Q36" s="517">
        <f t="shared" si="17"/>
        <v>329.6</v>
      </c>
      <c r="R36" s="517">
        <f t="shared" si="17"/>
        <v>824</v>
      </c>
      <c r="S36" s="246">
        <f t="shared" si="17"/>
        <v>30497</v>
      </c>
      <c r="T36" s="517">
        <f t="shared" si="17"/>
        <v>2885.8199999999993</v>
      </c>
      <c r="U36" s="517">
        <f t="shared" si="17"/>
        <v>1923.88</v>
      </c>
      <c r="V36" s="517">
        <f t="shared" si="17"/>
        <v>4809.6999999999989</v>
      </c>
      <c r="W36" s="435">
        <v>31856</v>
      </c>
      <c r="X36" s="435">
        <v>30497</v>
      </c>
      <c r="AA36" s="435">
        <f>SUM(AA12:AA35)</f>
        <v>5340</v>
      </c>
    </row>
    <row r="37" spans="1:27" s="435" customFormat="1" x14ac:dyDescent="0.25">
      <c r="A37" s="589"/>
      <c r="B37" s="589"/>
      <c r="C37" s="247"/>
      <c r="D37" s="590"/>
      <c r="E37" s="590"/>
      <c r="F37" s="590"/>
      <c r="G37" s="247"/>
      <c r="H37" s="590"/>
      <c r="I37" s="590"/>
      <c r="J37" s="590"/>
      <c r="K37" s="247"/>
      <c r="L37" s="590"/>
      <c r="M37" s="590"/>
      <c r="N37" s="590"/>
      <c r="O37" s="247"/>
      <c r="P37" s="590"/>
      <c r="Q37" s="590"/>
      <c r="R37" s="590"/>
      <c r="S37" s="247"/>
      <c r="T37" s="590"/>
      <c r="U37" s="590"/>
      <c r="V37" s="590"/>
    </row>
    <row r="38" spans="1:27" s="435" customFormat="1" x14ac:dyDescent="0.25">
      <c r="A38" s="589"/>
      <c r="B38" s="589"/>
      <c r="C38" s="247"/>
      <c r="D38" s="590"/>
      <c r="E38" s="590"/>
      <c r="F38" s="590"/>
      <c r="G38" s="247"/>
      <c r="H38" s="590"/>
      <c r="I38" s="590"/>
      <c r="J38" s="590"/>
      <c r="K38" s="247"/>
      <c r="L38" s="590"/>
      <c r="M38" s="590"/>
      <c r="N38" s="590"/>
      <c r="O38" s="247"/>
      <c r="P38" s="590"/>
      <c r="Q38" s="590"/>
      <c r="R38" s="590"/>
      <c r="S38" s="247"/>
      <c r="T38" s="590"/>
      <c r="U38" s="590"/>
      <c r="V38" s="590"/>
    </row>
    <row r="39" spans="1:27" s="435" customFormat="1" x14ac:dyDescent="0.25">
      <c r="A39" s="701" t="s">
        <v>11</v>
      </c>
      <c r="B39" s="669"/>
      <c r="C39" s="669"/>
      <c r="D39" s="701"/>
      <c r="E39" s="700"/>
      <c r="F39" s="701"/>
      <c r="G39" s="701"/>
      <c r="H39" s="701"/>
      <c r="I39" s="701"/>
      <c r="J39" s="701"/>
      <c r="K39" s="701"/>
      <c r="L39" s="701" t="s">
        <v>1107</v>
      </c>
      <c r="M39" s="701"/>
      <c r="N39" s="701"/>
      <c r="O39" s="247"/>
      <c r="P39" s="590"/>
      <c r="Q39" s="590"/>
      <c r="R39" s="590"/>
      <c r="S39" s="247"/>
      <c r="T39" s="590"/>
      <c r="U39" s="590"/>
      <c r="V39" s="590"/>
    </row>
    <row r="40" spans="1:27" x14ac:dyDescent="0.25">
      <c r="A40" s="669"/>
      <c r="B40" s="669"/>
      <c r="C40" s="669"/>
      <c r="D40" s="669"/>
      <c r="E40" s="701"/>
      <c r="F40" s="1086" t="s">
        <v>1108</v>
      </c>
      <c r="G40" s="1086"/>
      <c r="H40" s="1086"/>
      <c r="I40" s="1086"/>
      <c r="J40" s="1086"/>
      <c r="K40" s="1086"/>
      <c r="L40" s="1086"/>
      <c r="M40" s="1086"/>
      <c r="N40" s="1086"/>
      <c r="O40" s="566"/>
      <c r="P40" s="579"/>
      <c r="Q40" s="567"/>
      <c r="R40" s="567"/>
      <c r="S40" s="567"/>
      <c r="T40" s="684"/>
      <c r="U40" s="684"/>
      <c r="AA40" s="68">
        <v>5184</v>
      </c>
    </row>
    <row r="41" spans="1:27" s="15" customFormat="1" ht="12.75" x14ac:dyDescent="0.2">
      <c r="A41" s="669"/>
      <c r="B41" s="669"/>
      <c r="C41" s="669"/>
      <c r="D41" s="669"/>
      <c r="E41" s="1086" t="s">
        <v>1113</v>
      </c>
      <c r="F41" s="1086"/>
      <c r="G41" s="1086"/>
      <c r="H41" s="1086"/>
      <c r="I41" s="1086"/>
      <c r="J41" s="1086"/>
      <c r="K41" s="1086"/>
      <c r="L41" s="1086"/>
      <c r="M41" s="1086"/>
      <c r="N41" s="1086"/>
      <c r="O41" s="566"/>
      <c r="P41" s="579"/>
      <c r="Q41" s="567"/>
      <c r="R41" s="567"/>
      <c r="S41" s="567"/>
      <c r="T41" s="76"/>
      <c r="U41" s="76"/>
      <c r="V41" s="76"/>
      <c r="AA41" s="15">
        <f>AA40-AA36</f>
        <v>-156</v>
      </c>
    </row>
    <row r="42" spans="1:27" s="15" customFormat="1" ht="12.75" customHeight="1" x14ac:dyDescent="0.2">
      <c r="A42" s="701"/>
      <c r="B42" s="701"/>
      <c r="C42" s="669"/>
      <c r="D42" s="669"/>
      <c r="E42" s="700"/>
      <c r="F42" s="701"/>
      <c r="G42" s="701"/>
      <c r="H42" s="701"/>
      <c r="I42" s="701"/>
      <c r="J42" s="701"/>
      <c r="K42" s="701"/>
      <c r="L42" s="701" t="s">
        <v>1115</v>
      </c>
      <c r="M42" s="701"/>
      <c r="N42" s="701"/>
      <c r="O42" s="566"/>
      <c r="P42" s="583"/>
      <c r="Q42" s="567"/>
      <c r="R42" s="567"/>
      <c r="S42" s="567"/>
      <c r="T42" s="76"/>
      <c r="U42" s="33"/>
      <c r="V42" s="33"/>
    </row>
  </sheetData>
  <mergeCells count="23">
    <mergeCell ref="F40:N40"/>
    <mergeCell ref="E41:N41"/>
    <mergeCell ref="L9:N9"/>
    <mergeCell ref="P9:R9"/>
    <mergeCell ref="H9:J9"/>
    <mergeCell ref="K9:K10"/>
    <mergeCell ref="O9:O10"/>
    <mergeCell ref="A36:B36"/>
    <mergeCell ref="B8:B10"/>
    <mergeCell ref="A8:A10"/>
    <mergeCell ref="O8:R8"/>
    <mergeCell ref="K8:N8"/>
    <mergeCell ref="G8:J8"/>
    <mergeCell ref="U1:V1"/>
    <mergeCell ref="C8:F8"/>
    <mergeCell ref="D9:F9"/>
    <mergeCell ref="C9:C10"/>
    <mergeCell ref="G9:G10"/>
    <mergeCell ref="S8:V8"/>
    <mergeCell ref="T9:V9"/>
    <mergeCell ref="E2:P2"/>
    <mergeCell ref="C4:Q4"/>
    <mergeCell ref="S9:S10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view="pageBreakPreview" topLeftCell="A19" zoomScale="85" zoomScaleNormal="85" zoomScaleSheetLayoutView="85" workbookViewId="0">
      <selection activeCell="K35" sqref="K35"/>
    </sheetView>
  </sheetViews>
  <sheetFormatPr defaultColWidth="8.85546875" defaultRowHeight="14.25" x14ac:dyDescent="0.2"/>
  <cols>
    <col min="1" max="1" width="8.140625" style="66" customWidth="1"/>
    <col min="2" max="2" width="17.5703125" style="66" customWidth="1"/>
    <col min="3" max="3" width="12.85546875" style="66" customWidth="1"/>
    <col min="4" max="4" width="12.7109375" style="66" customWidth="1"/>
    <col min="5" max="5" width="12.5703125" style="66" customWidth="1"/>
    <col min="6" max="6" width="17.140625" style="66" customWidth="1"/>
    <col min="7" max="7" width="15.140625" style="66" customWidth="1"/>
    <col min="8" max="8" width="14.42578125" style="66" customWidth="1"/>
    <col min="9" max="9" width="14.85546875" style="66" customWidth="1"/>
    <col min="10" max="10" width="18.42578125" style="66" customWidth="1"/>
    <col min="11" max="11" width="17.28515625" style="66" customWidth="1"/>
    <col min="12" max="12" width="16.28515625" style="66" customWidth="1"/>
    <col min="13" max="16384" width="8.85546875" style="66"/>
  </cols>
  <sheetData>
    <row r="1" spans="1:19" ht="15" x14ac:dyDescent="0.2">
      <c r="B1" s="15"/>
      <c r="C1" s="15"/>
      <c r="D1" s="15"/>
      <c r="E1" s="15"/>
      <c r="F1" s="1"/>
      <c r="G1" s="1"/>
      <c r="H1" s="15"/>
      <c r="J1" s="38"/>
      <c r="K1" s="924" t="s">
        <v>534</v>
      </c>
      <c r="L1" s="924"/>
    </row>
    <row r="2" spans="1:19" ht="15.75" x14ac:dyDescent="0.25">
      <c r="B2" s="788" t="s">
        <v>0</v>
      </c>
      <c r="C2" s="788"/>
      <c r="D2" s="788"/>
      <c r="E2" s="788"/>
      <c r="F2" s="788"/>
      <c r="G2" s="788"/>
      <c r="H2" s="788"/>
      <c r="I2" s="788"/>
      <c r="J2" s="788"/>
    </row>
    <row r="3" spans="1:19" ht="20.25" x14ac:dyDescent="0.3">
      <c r="B3" s="789" t="s">
        <v>694</v>
      </c>
      <c r="C3" s="789"/>
      <c r="D3" s="789"/>
      <c r="E3" s="789"/>
      <c r="F3" s="789"/>
      <c r="G3" s="789"/>
      <c r="H3" s="789"/>
      <c r="I3" s="789"/>
      <c r="J3" s="789"/>
    </row>
    <row r="4" spans="1:19" ht="20.25" x14ac:dyDescent="0.3">
      <c r="B4" s="120"/>
      <c r="C4" s="120"/>
      <c r="D4" s="120"/>
      <c r="E4" s="120"/>
      <c r="F4" s="120"/>
      <c r="G4" s="120"/>
      <c r="H4" s="120"/>
      <c r="I4" s="120"/>
      <c r="J4" s="120"/>
    </row>
    <row r="5" spans="1:19" ht="15.6" customHeight="1" x14ac:dyDescent="0.25">
      <c r="B5" s="1159" t="s">
        <v>826</v>
      </c>
      <c r="C5" s="1159"/>
      <c r="D5" s="1159"/>
      <c r="E5" s="1159"/>
      <c r="F5" s="1159"/>
      <c r="G5" s="1159"/>
      <c r="H5" s="1159"/>
      <c r="I5" s="1159"/>
      <c r="J5" s="1159"/>
      <c r="K5" s="1159"/>
      <c r="L5" s="1159"/>
    </row>
    <row r="6" spans="1:19" x14ac:dyDescent="0.2">
      <c r="A6" s="557" t="s">
        <v>1098</v>
      </c>
      <c r="B6" s="598"/>
      <c r="C6" s="30"/>
    </row>
    <row r="7" spans="1:19" ht="15" customHeight="1" x14ac:dyDescent="0.25">
      <c r="A7" s="1144" t="s">
        <v>103</v>
      </c>
      <c r="B7" s="1109" t="s">
        <v>2</v>
      </c>
      <c r="C7" s="1147" t="s">
        <v>1018</v>
      </c>
      <c r="D7" s="1147"/>
      <c r="E7" s="1147"/>
      <c r="F7" s="1147"/>
      <c r="G7" s="1156" t="s">
        <v>1058</v>
      </c>
      <c r="H7" s="1157"/>
      <c r="I7" s="1157"/>
      <c r="J7" s="1158"/>
      <c r="K7" s="1109" t="s">
        <v>375</v>
      </c>
      <c r="L7" s="1104" t="s">
        <v>666</v>
      </c>
    </row>
    <row r="8" spans="1:19" ht="31.15" customHeight="1" x14ac:dyDescent="0.2">
      <c r="A8" s="1145"/>
      <c r="B8" s="1155"/>
      <c r="C8" s="1104" t="s">
        <v>233</v>
      </c>
      <c r="D8" s="1109" t="s">
        <v>431</v>
      </c>
      <c r="E8" s="1160" t="s">
        <v>91</v>
      </c>
      <c r="F8" s="1103"/>
      <c r="G8" s="1110" t="s">
        <v>233</v>
      </c>
      <c r="H8" s="1104" t="s">
        <v>431</v>
      </c>
      <c r="I8" s="1153" t="s">
        <v>91</v>
      </c>
      <c r="J8" s="1154"/>
      <c r="K8" s="1155"/>
      <c r="L8" s="1104"/>
    </row>
    <row r="9" spans="1:19" ht="69.75" customHeight="1" x14ac:dyDescent="0.2">
      <c r="A9" s="1146"/>
      <c r="B9" s="1110"/>
      <c r="C9" s="1104"/>
      <c r="D9" s="1110"/>
      <c r="E9" s="78" t="s">
        <v>766</v>
      </c>
      <c r="F9" s="78" t="s">
        <v>432</v>
      </c>
      <c r="G9" s="1104"/>
      <c r="H9" s="1104"/>
      <c r="I9" s="78" t="s">
        <v>766</v>
      </c>
      <c r="J9" s="78" t="s">
        <v>432</v>
      </c>
      <c r="K9" s="1110"/>
      <c r="L9" s="1104"/>
      <c r="M9" s="104"/>
      <c r="N9" s="104"/>
      <c r="O9" s="104"/>
    </row>
    <row r="10" spans="1:19" x14ac:dyDescent="0.2">
      <c r="A10" s="148">
        <v>1</v>
      </c>
      <c r="B10" s="147">
        <v>2</v>
      </c>
      <c r="C10" s="148">
        <v>3</v>
      </c>
      <c r="D10" s="147">
        <v>4</v>
      </c>
      <c r="E10" s="148">
        <v>5</v>
      </c>
      <c r="F10" s="147">
        <v>6</v>
      </c>
      <c r="G10" s="148">
        <v>7</v>
      </c>
      <c r="H10" s="147">
        <v>8</v>
      </c>
      <c r="I10" s="148">
        <v>9</v>
      </c>
      <c r="J10" s="147">
        <v>10</v>
      </c>
      <c r="K10" s="148" t="s">
        <v>542</v>
      </c>
      <c r="L10" s="147">
        <v>12</v>
      </c>
      <c r="M10" s="104"/>
      <c r="N10" s="104"/>
      <c r="O10" s="104"/>
    </row>
    <row r="11" spans="1:19" s="101" customFormat="1" x14ac:dyDescent="0.2">
      <c r="A11" s="113">
        <v>1</v>
      </c>
      <c r="B11" s="351" t="s">
        <v>875</v>
      </c>
      <c r="C11" s="102">
        <f>'enrolment vs availed_PY'!G11+'enrolment vs availed_UPY'!G11</f>
        <v>251822</v>
      </c>
      <c r="D11" s="102">
        <f>'AT-8_Hon_CCH_Pry'!C14</f>
        <v>5316</v>
      </c>
      <c r="E11" s="532">
        <f>'AT-8_Hon_CCH_Pry'!D14</f>
        <v>4982</v>
      </c>
      <c r="F11" s="102">
        <v>0</v>
      </c>
      <c r="G11" s="102"/>
      <c r="H11" s="102"/>
      <c r="I11" s="102"/>
      <c r="J11" s="102"/>
      <c r="K11" s="533">
        <f>E11+F11</f>
        <v>4982</v>
      </c>
      <c r="L11" s="103">
        <v>4982</v>
      </c>
      <c r="M11" s="104"/>
      <c r="N11" s="104"/>
      <c r="O11" s="104"/>
      <c r="P11" s="104"/>
      <c r="Q11" s="104"/>
      <c r="R11" s="104"/>
      <c r="S11" s="104"/>
    </row>
    <row r="12" spans="1:19" x14ac:dyDescent="0.2">
      <c r="A12" s="113">
        <v>2</v>
      </c>
      <c r="B12" s="351" t="s">
        <v>876</v>
      </c>
      <c r="C12" s="102">
        <f>'enrolment vs availed_PY'!G12+'enrolment vs availed_UPY'!G12</f>
        <v>81399</v>
      </c>
      <c r="D12" s="102">
        <f>'AT-8_Hon_CCH_Pry'!C15</f>
        <v>1637</v>
      </c>
      <c r="E12" s="532">
        <f>'AT-8_Hon_CCH_Pry'!D15</f>
        <v>1627</v>
      </c>
      <c r="F12" s="102">
        <v>0</v>
      </c>
      <c r="G12" s="102"/>
      <c r="H12" s="102"/>
      <c r="I12" s="102"/>
      <c r="J12" s="102"/>
      <c r="K12" s="533">
        <f t="shared" ref="K12:K34" si="0">E12+F12</f>
        <v>1627</v>
      </c>
      <c r="L12" s="103">
        <v>1627</v>
      </c>
      <c r="M12" s="104"/>
      <c r="N12" s="104"/>
      <c r="O12" s="104"/>
    </row>
    <row r="13" spans="1:19" x14ac:dyDescent="0.2">
      <c r="A13" s="113">
        <v>3</v>
      </c>
      <c r="B13" s="351" t="s">
        <v>877</v>
      </c>
      <c r="C13" s="102">
        <f>'enrolment vs availed_PY'!G13+'enrolment vs availed_UPY'!G13</f>
        <v>69706</v>
      </c>
      <c r="D13" s="102">
        <f>'AT-8_Hon_CCH_Pry'!C16</f>
        <v>1205</v>
      </c>
      <c r="E13" s="532">
        <f>'AT-8_Hon_CCH_Pry'!D16</f>
        <v>1205</v>
      </c>
      <c r="F13" s="102">
        <v>0</v>
      </c>
      <c r="G13" s="102"/>
      <c r="H13" s="102"/>
      <c r="I13" s="102"/>
      <c r="J13" s="102"/>
      <c r="K13" s="533">
        <f t="shared" si="0"/>
        <v>1205</v>
      </c>
      <c r="L13" s="103">
        <v>1205</v>
      </c>
      <c r="M13" s="104"/>
      <c r="N13" s="104"/>
      <c r="O13" s="104"/>
    </row>
    <row r="14" spans="1:19" x14ac:dyDescent="0.2">
      <c r="A14" s="113">
        <v>4</v>
      </c>
      <c r="B14" s="351" t="s">
        <v>878</v>
      </c>
      <c r="C14" s="102">
        <f>'enrolment vs availed_PY'!G14+'enrolment vs availed_UPY'!G14</f>
        <v>161249</v>
      </c>
      <c r="D14" s="102">
        <f>'AT-8_Hon_CCH_Pry'!C17</f>
        <v>3721</v>
      </c>
      <c r="E14" s="532">
        <f>'AT-8_Hon_CCH_Pry'!D17</f>
        <v>3686</v>
      </c>
      <c r="F14" s="102">
        <v>0</v>
      </c>
      <c r="G14" s="102"/>
      <c r="H14" s="102"/>
      <c r="I14" s="102"/>
      <c r="J14" s="102"/>
      <c r="K14" s="533">
        <f t="shared" si="0"/>
        <v>3686</v>
      </c>
      <c r="L14" s="103">
        <v>0</v>
      </c>
      <c r="M14" s="104"/>
      <c r="N14" s="104"/>
      <c r="O14" s="104"/>
    </row>
    <row r="15" spans="1:19" x14ac:dyDescent="0.2">
      <c r="A15" s="113">
        <v>5</v>
      </c>
      <c r="B15" s="351" t="s">
        <v>879</v>
      </c>
      <c r="C15" s="102">
        <f>'enrolment vs availed_PY'!G15+'enrolment vs availed_UPY'!G15</f>
        <v>96375</v>
      </c>
      <c r="D15" s="102">
        <f>'AT-8_Hon_CCH_Pry'!C18</f>
        <v>2269</v>
      </c>
      <c r="E15" s="532">
        <f>'AT-8_Hon_CCH_Pry'!D18</f>
        <v>2093</v>
      </c>
      <c r="F15" s="102">
        <v>0</v>
      </c>
      <c r="G15" s="102"/>
      <c r="H15" s="102"/>
      <c r="I15" s="102"/>
      <c r="J15" s="102"/>
      <c r="K15" s="533">
        <f t="shared" si="0"/>
        <v>2093</v>
      </c>
      <c r="L15" s="103">
        <v>0</v>
      </c>
      <c r="M15" s="104"/>
      <c r="N15" s="104"/>
      <c r="O15" s="104"/>
    </row>
    <row r="16" spans="1:19" x14ac:dyDescent="0.2">
      <c r="A16" s="113">
        <v>6</v>
      </c>
      <c r="B16" s="351" t="s">
        <v>880</v>
      </c>
      <c r="C16" s="102">
        <f>'enrolment vs availed_PY'!G16+'enrolment vs availed_UPY'!G16</f>
        <v>179592</v>
      </c>
      <c r="D16" s="102">
        <f>'AT-8_Hon_CCH_Pry'!C19</f>
        <v>3472</v>
      </c>
      <c r="E16" s="532">
        <f>'AT-8_Hon_CCH_Pry'!D19</f>
        <v>3467</v>
      </c>
      <c r="F16" s="102">
        <v>0</v>
      </c>
      <c r="G16" s="102"/>
      <c r="H16" s="102"/>
      <c r="I16" s="102"/>
      <c r="J16" s="102"/>
      <c r="K16" s="533">
        <f t="shared" si="0"/>
        <v>3467</v>
      </c>
      <c r="L16" s="103">
        <v>0</v>
      </c>
      <c r="M16" s="104"/>
      <c r="N16" s="104"/>
      <c r="O16" s="104"/>
    </row>
    <row r="17" spans="1:15" x14ac:dyDescent="0.2">
      <c r="A17" s="113">
        <v>7</v>
      </c>
      <c r="B17" s="351" t="s">
        <v>923</v>
      </c>
      <c r="C17" s="102">
        <f>'enrolment vs availed_PY'!G17+'enrolment vs availed_UPY'!G17</f>
        <v>124611</v>
      </c>
      <c r="D17" s="102">
        <f>'AT-8_Hon_CCH_Pry'!C20</f>
        <v>2850</v>
      </c>
      <c r="E17" s="532">
        <f>'AT-8_Hon_CCH_Pry'!D20</f>
        <v>2687</v>
      </c>
      <c r="F17" s="102">
        <v>0</v>
      </c>
      <c r="G17" s="102"/>
      <c r="H17" s="102"/>
      <c r="I17" s="102"/>
      <c r="J17" s="102"/>
      <c r="K17" s="533">
        <f t="shared" si="0"/>
        <v>2687</v>
      </c>
      <c r="L17" s="103">
        <v>0</v>
      </c>
      <c r="M17" s="104"/>
      <c r="N17" s="104"/>
      <c r="O17" s="104"/>
    </row>
    <row r="18" spans="1:15" x14ac:dyDescent="0.2">
      <c r="A18" s="113">
        <v>8</v>
      </c>
      <c r="B18" s="351" t="s">
        <v>882</v>
      </c>
      <c r="C18" s="102">
        <f>'enrolment vs availed_PY'!G18+'enrolment vs availed_UPY'!G18</f>
        <v>262138</v>
      </c>
      <c r="D18" s="102">
        <f>'AT-8_Hon_CCH_Pry'!C21</f>
        <v>3818</v>
      </c>
      <c r="E18" s="532">
        <f>'AT-8_Hon_CCH_Pry'!D21</f>
        <v>3717</v>
      </c>
      <c r="F18" s="102">
        <v>0</v>
      </c>
      <c r="G18" s="102"/>
      <c r="H18" s="102"/>
      <c r="I18" s="102"/>
      <c r="J18" s="102"/>
      <c r="K18" s="533">
        <f t="shared" si="0"/>
        <v>3717</v>
      </c>
      <c r="L18" s="103">
        <v>0</v>
      </c>
      <c r="M18" s="104"/>
      <c r="N18" s="104"/>
      <c r="O18" s="104"/>
    </row>
    <row r="19" spans="1:15" x14ac:dyDescent="0.2">
      <c r="A19" s="113">
        <v>9</v>
      </c>
      <c r="B19" s="351" t="s">
        <v>883</v>
      </c>
      <c r="C19" s="102">
        <f>'enrolment vs availed_PY'!G19+'enrolment vs availed_UPY'!G19</f>
        <v>359023</v>
      </c>
      <c r="D19" s="102">
        <f>'AT-8_Hon_CCH_Pry'!C22</f>
        <v>5569</v>
      </c>
      <c r="E19" s="532">
        <f>'AT-8_Hon_CCH_Pry'!D22</f>
        <v>5569</v>
      </c>
      <c r="F19" s="102">
        <v>0</v>
      </c>
      <c r="G19" s="102"/>
      <c r="H19" s="102"/>
      <c r="I19" s="102"/>
      <c r="J19" s="102"/>
      <c r="K19" s="533">
        <f t="shared" si="0"/>
        <v>5569</v>
      </c>
      <c r="L19" s="103">
        <v>5569</v>
      </c>
      <c r="M19" s="104"/>
      <c r="N19" s="104"/>
      <c r="O19" s="104"/>
    </row>
    <row r="20" spans="1:15" x14ac:dyDescent="0.2">
      <c r="A20" s="113">
        <v>10</v>
      </c>
      <c r="B20" s="351" t="s">
        <v>884</v>
      </c>
      <c r="C20" s="102">
        <f>'enrolment vs availed_PY'!G20+'enrolment vs availed_UPY'!G20</f>
        <v>137275</v>
      </c>
      <c r="D20" s="102">
        <f>'AT-8_Hon_CCH_Pry'!C23</f>
        <v>2600</v>
      </c>
      <c r="E20" s="532">
        <f>'AT-8_Hon_CCH_Pry'!D23</f>
        <v>2421</v>
      </c>
      <c r="F20" s="102">
        <v>0</v>
      </c>
      <c r="G20" s="102"/>
      <c r="H20" s="102"/>
      <c r="I20" s="102"/>
      <c r="J20" s="102"/>
      <c r="K20" s="533">
        <f t="shared" si="0"/>
        <v>2421</v>
      </c>
      <c r="L20" s="103">
        <v>2421</v>
      </c>
      <c r="M20" s="104"/>
      <c r="N20" s="104"/>
      <c r="O20" s="104"/>
    </row>
    <row r="21" spans="1:15" x14ac:dyDescent="0.2">
      <c r="A21" s="113">
        <v>11</v>
      </c>
      <c r="B21" s="351" t="s">
        <v>885</v>
      </c>
      <c r="C21" s="102">
        <f>'enrolment vs availed_PY'!G21+'enrolment vs availed_UPY'!G21</f>
        <v>226048</v>
      </c>
      <c r="D21" s="102">
        <f>'AT-8_Hon_CCH_Pry'!C24</f>
        <v>3429</v>
      </c>
      <c r="E21" s="532">
        <f>'AT-8_Hon_CCH_Pry'!D24</f>
        <v>3429</v>
      </c>
      <c r="F21" s="102">
        <v>0</v>
      </c>
      <c r="G21" s="102"/>
      <c r="H21" s="102"/>
      <c r="I21" s="102"/>
      <c r="J21" s="102"/>
      <c r="K21" s="533">
        <f t="shared" si="0"/>
        <v>3429</v>
      </c>
      <c r="L21" s="103">
        <v>3429</v>
      </c>
      <c r="M21" s="104"/>
      <c r="N21" s="104"/>
      <c r="O21" s="104"/>
    </row>
    <row r="22" spans="1:15" x14ac:dyDescent="0.2">
      <c r="A22" s="113">
        <v>12</v>
      </c>
      <c r="B22" s="351" t="s">
        <v>886</v>
      </c>
      <c r="C22" s="102">
        <f>'enrolment vs availed_PY'!G22+'enrolment vs availed_UPY'!G22</f>
        <v>193678</v>
      </c>
      <c r="D22" s="102">
        <f>'AT-8_Hon_CCH_Pry'!C25</f>
        <v>3566</v>
      </c>
      <c r="E22" s="532">
        <f>'AT-8_Hon_CCH_Pry'!D25</f>
        <v>3445</v>
      </c>
      <c r="F22" s="102">
        <v>0</v>
      </c>
      <c r="G22" s="102"/>
      <c r="H22" s="102"/>
      <c r="I22" s="102"/>
      <c r="J22" s="102"/>
      <c r="K22" s="533">
        <f t="shared" si="0"/>
        <v>3445</v>
      </c>
      <c r="L22" s="103">
        <v>0</v>
      </c>
      <c r="M22" s="104"/>
      <c r="N22" s="104"/>
      <c r="O22" s="104"/>
    </row>
    <row r="23" spans="1:15" x14ac:dyDescent="0.2">
      <c r="A23" s="113">
        <v>13</v>
      </c>
      <c r="B23" s="351" t="s">
        <v>887</v>
      </c>
      <c r="C23" s="102">
        <f>'enrolment vs availed_PY'!G23+'enrolment vs availed_UPY'!G23</f>
        <v>81152</v>
      </c>
      <c r="D23" s="102">
        <f>'AT-8_Hon_CCH_Pry'!C26</f>
        <v>1738</v>
      </c>
      <c r="E23" s="532">
        <f>'AT-8_Hon_CCH_Pry'!D26</f>
        <v>1704</v>
      </c>
      <c r="F23" s="102">
        <v>0</v>
      </c>
      <c r="G23" s="101"/>
      <c r="H23" s="101"/>
      <c r="I23" s="101"/>
      <c r="J23" s="101"/>
      <c r="K23" s="533">
        <f t="shared" si="0"/>
        <v>1704</v>
      </c>
      <c r="L23" s="103">
        <v>1704</v>
      </c>
      <c r="M23" s="104"/>
      <c r="N23" s="104"/>
      <c r="O23" s="104"/>
    </row>
    <row r="24" spans="1:15" x14ac:dyDescent="0.2">
      <c r="A24" s="113">
        <v>14</v>
      </c>
      <c r="B24" s="351" t="s">
        <v>888</v>
      </c>
      <c r="C24" s="102">
        <f>'enrolment vs availed_PY'!G24+'enrolment vs availed_UPY'!G24</f>
        <v>94727</v>
      </c>
      <c r="D24" s="102">
        <f>'AT-8_Hon_CCH_Pry'!C27</f>
        <v>1516</v>
      </c>
      <c r="E24" s="532">
        <f>'AT-8_Hon_CCH_Pry'!D27</f>
        <v>1506</v>
      </c>
      <c r="F24" s="102">
        <v>0</v>
      </c>
      <c r="G24" s="101"/>
      <c r="H24" s="101"/>
      <c r="I24" s="101"/>
      <c r="J24" s="101"/>
      <c r="K24" s="533">
        <f t="shared" si="0"/>
        <v>1506</v>
      </c>
      <c r="L24" s="103">
        <v>1506</v>
      </c>
    </row>
    <row r="25" spans="1:15" x14ac:dyDescent="0.2">
      <c r="A25" s="113">
        <v>15</v>
      </c>
      <c r="B25" s="351" t="s">
        <v>924</v>
      </c>
      <c r="C25" s="102">
        <f>'enrolment vs availed_PY'!G25+'enrolment vs availed_UPY'!G25</f>
        <v>185854</v>
      </c>
      <c r="D25" s="102">
        <f>'AT-8_Hon_CCH_Pry'!C28</f>
        <v>4340</v>
      </c>
      <c r="E25" s="532">
        <f>'AT-8_Hon_CCH_Pry'!D28</f>
        <v>3918</v>
      </c>
      <c r="F25" s="102">
        <v>0</v>
      </c>
      <c r="G25" s="101"/>
      <c r="H25" s="101"/>
      <c r="I25" s="101"/>
      <c r="J25" s="101"/>
      <c r="K25" s="533">
        <f t="shared" si="0"/>
        <v>3918</v>
      </c>
      <c r="L25" s="103">
        <v>3918</v>
      </c>
      <c r="N25" s="66" t="s">
        <v>10</v>
      </c>
    </row>
    <row r="26" spans="1:15" x14ac:dyDescent="0.2">
      <c r="A26" s="113">
        <v>16</v>
      </c>
      <c r="B26" s="351" t="s">
        <v>890</v>
      </c>
      <c r="C26" s="102">
        <f>'enrolment vs availed_PY'!G26+'enrolment vs availed_UPY'!G26</f>
        <v>383115</v>
      </c>
      <c r="D26" s="102">
        <f>'AT-8_Hon_CCH_Pry'!C29</f>
        <v>6995</v>
      </c>
      <c r="E26" s="532">
        <f>'AT-8_Hon_CCH_Pry'!D29</f>
        <v>6959</v>
      </c>
      <c r="F26" s="102">
        <v>0</v>
      </c>
      <c r="G26" s="101"/>
      <c r="H26" s="101"/>
      <c r="I26" s="101"/>
      <c r="J26" s="101"/>
      <c r="K26" s="533">
        <f t="shared" si="0"/>
        <v>6959</v>
      </c>
      <c r="L26" s="103">
        <v>6959</v>
      </c>
    </row>
    <row r="27" spans="1:15" x14ac:dyDescent="0.2">
      <c r="A27" s="113">
        <v>17</v>
      </c>
      <c r="B27" s="351" t="s">
        <v>891</v>
      </c>
      <c r="C27" s="102">
        <f>'enrolment vs availed_PY'!G27+'enrolment vs availed_UPY'!G27</f>
        <v>226346</v>
      </c>
      <c r="D27" s="102">
        <f>'AT-8_Hon_CCH_Pry'!C30</f>
        <v>3993</v>
      </c>
      <c r="E27" s="532">
        <f>'AT-8_Hon_CCH_Pry'!D30</f>
        <v>3771</v>
      </c>
      <c r="F27" s="102">
        <v>0</v>
      </c>
      <c r="G27" s="101"/>
      <c r="H27" s="101"/>
      <c r="I27" s="101"/>
      <c r="J27" s="101"/>
      <c r="K27" s="533">
        <f t="shared" si="0"/>
        <v>3771</v>
      </c>
      <c r="L27" s="103">
        <v>3771</v>
      </c>
    </row>
    <row r="28" spans="1:15" x14ac:dyDescent="0.2">
      <c r="A28" s="113">
        <v>18</v>
      </c>
      <c r="B28" s="351" t="s">
        <v>892</v>
      </c>
      <c r="C28" s="102">
        <f>'enrolment vs availed_PY'!G28+'enrolment vs availed_UPY'!G28</f>
        <v>180330</v>
      </c>
      <c r="D28" s="102">
        <f>'AT-8_Hon_CCH_Pry'!C31</f>
        <v>3862</v>
      </c>
      <c r="E28" s="532">
        <f>'AT-8_Hon_CCH_Pry'!D31</f>
        <v>3862</v>
      </c>
      <c r="F28" s="102">
        <v>0</v>
      </c>
      <c r="G28" s="101"/>
      <c r="H28" s="101"/>
      <c r="I28" s="101"/>
      <c r="J28" s="101"/>
      <c r="K28" s="533">
        <f t="shared" si="0"/>
        <v>3862</v>
      </c>
      <c r="L28" s="103">
        <v>3862</v>
      </c>
    </row>
    <row r="29" spans="1:15" x14ac:dyDescent="0.2">
      <c r="A29" s="113">
        <v>19</v>
      </c>
      <c r="B29" s="351" t="s">
        <v>893</v>
      </c>
      <c r="C29" s="102">
        <f>'enrolment vs availed_PY'!G29+'enrolment vs availed_UPY'!G29</f>
        <v>200691</v>
      </c>
      <c r="D29" s="102">
        <f>'AT-8_Hon_CCH_Pry'!C32</f>
        <v>4640</v>
      </c>
      <c r="E29" s="532">
        <f>'AT-8_Hon_CCH_Pry'!D32</f>
        <v>4640</v>
      </c>
      <c r="F29" s="102">
        <v>0</v>
      </c>
      <c r="G29" s="101"/>
      <c r="H29" s="101"/>
      <c r="I29" s="101"/>
      <c r="J29" s="101"/>
      <c r="K29" s="533">
        <f t="shared" si="0"/>
        <v>4640</v>
      </c>
      <c r="L29" s="103">
        <v>4640</v>
      </c>
    </row>
    <row r="30" spans="1:15" x14ac:dyDescent="0.2">
      <c r="A30" s="113">
        <v>20</v>
      </c>
      <c r="B30" s="351" t="s">
        <v>894</v>
      </c>
      <c r="C30" s="102">
        <f>'enrolment vs availed_PY'!G30+'enrolment vs availed_UPY'!G30</f>
        <v>114678</v>
      </c>
      <c r="D30" s="102">
        <f>'AT-8_Hon_CCH_Pry'!C33</f>
        <v>2237</v>
      </c>
      <c r="E30" s="532">
        <f>'AT-8_Hon_CCH_Pry'!D33</f>
        <v>2202</v>
      </c>
      <c r="F30" s="102">
        <v>0</v>
      </c>
      <c r="G30" s="101"/>
      <c r="H30" s="101"/>
      <c r="I30" s="101"/>
      <c r="J30" s="101"/>
      <c r="K30" s="533">
        <f t="shared" si="0"/>
        <v>2202</v>
      </c>
      <c r="L30" s="103">
        <v>2202</v>
      </c>
    </row>
    <row r="31" spans="1:15" x14ac:dyDescent="0.2">
      <c r="A31" s="113">
        <v>21</v>
      </c>
      <c r="B31" s="351" t="s">
        <v>925</v>
      </c>
      <c r="C31" s="102">
        <f>'enrolment vs availed_PY'!G31+'enrolment vs availed_UPY'!G31</f>
        <v>195094</v>
      </c>
      <c r="D31" s="102">
        <f>'AT-8_Hon_CCH_Pry'!C34</f>
        <v>3322</v>
      </c>
      <c r="E31" s="532">
        <f>'AT-8_Hon_CCH_Pry'!D34</f>
        <v>3185</v>
      </c>
      <c r="F31" s="102">
        <v>0</v>
      </c>
      <c r="G31" s="101"/>
      <c r="H31" s="101"/>
      <c r="I31" s="101"/>
      <c r="J31" s="101"/>
      <c r="K31" s="533">
        <f t="shared" si="0"/>
        <v>3185</v>
      </c>
      <c r="L31" s="103">
        <v>3185</v>
      </c>
    </row>
    <row r="32" spans="1:15" x14ac:dyDescent="0.2">
      <c r="A32" s="113">
        <v>22</v>
      </c>
      <c r="B32" s="351" t="s">
        <v>896</v>
      </c>
      <c r="C32" s="102">
        <f>'enrolment vs availed_PY'!G32+'enrolment vs availed_UPY'!G32</f>
        <v>143632</v>
      </c>
      <c r="D32" s="102">
        <f>'AT-8_Hon_CCH_Pry'!C35</f>
        <v>2030</v>
      </c>
      <c r="E32" s="532">
        <f>'AT-8_Hon_CCH_Pry'!D35</f>
        <v>2068</v>
      </c>
      <c r="F32" s="102">
        <v>0</v>
      </c>
      <c r="G32" s="101"/>
      <c r="H32" s="101"/>
      <c r="I32" s="101"/>
      <c r="J32" s="101"/>
      <c r="K32" s="533">
        <f t="shared" si="0"/>
        <v>2068</v>
      </c>
      <c r="L32" s="103">
        <v>2068</v>
      </c>
    </row>
    <row r="33" spans="1:19" x14ac:dyDescent="0.2">
      <c r="A33" s="113">
        <v>23</v>
      </c>
      <c r="B33" s="351" t="s">
        <v>926</v>
      </c>
      <c r="C33" s="102">
        <f>'enrolment vs availed_PY'!G33+'enrolment vs availed_UPY'!G33</f>
        <v>205969</v>
      </c>
      <c r="D33" s="102">
        <f>'AT-8_Hon_CCH_Pry'!C36</f>
        <v>3210</v>
      </c>
      <c r="E33" s="532">
        <f>'AT-8_Hon_CCH_Pry'!D36</f>
        <v>3206</v>
      </c>
      <c r="F33" s="102">
        <v>0</v>
      </c>
      <c r="G33" s="101"/>
      <c r="H33" s="101"/>
      <c r="I33" s="101"/>
      <c r="J33" s="101"/>
      <c r="K33" s="533">
        <f t="shared" si="0"/>
        <v>3206</v>
      </c>
      <c r="L33" s="103">
        <v>3206</v>
      </c>
    </row>
    <row r="34" spans="1:19" x14ac:dyDescent="0.2">
      <c r="A34" s="113">
        <v>24</v>
      </c>
      <c r="B34" s="351" t="s">
        <v>898</v>
      </c>
      <c r="C34" s="102">
        <f>'enrolment vs availed_PY'!G34+'enrolment vs availed_UPY'!G34</f>
        <v>248293</v>
      </c>
      <c r="D34" s="102">
        <f>'AT-8_Hon_CCH_Pry'!C37</f>
        <v>4242</v>
      </c>
      <c r="E34" s="532">
        <f>'AT-8_Hon_CCH_Pry'!D37</f>
        <v>4242</v>
      </c>
      <c r="F34" s="102">
        <v>0</v>
      </c>
      <c r="G34" s="101"/>
      <c r="H34" s="101"/>
      <c r="I34" s="101"/>
      <c r="J34" s="101"/>
      <c r="K34" s="533">
        <f t="shared" si="0"/>
        <v>4242</v>
      </c>
      <c r="L34" s="103">
        <v>4242</v>
      </c>
    </row>
    <row r="35" spans="1:19" s="529" customFormat="1" ht="15" x14ac:dyDescent="0.25">
      <c r="A35" s="1148" t="s">
        <v>15</v>
      </c>
      <c r="B35" s="1149"/>
      <c r="C35" s="528">
        <f>SUM(C11:C34)</f>
        <v>4402797</v>
      </c>
      <c r="D35" s="528">
        <f>SUM(D11:D34)</f>
        <v>81577</v>
      </c>
      <c r="E35" s="528">
        <f>SUM(E11:E34)</f>
        <v>79591</v>
      </c>
      <c r="F35" s="528">
        <f>SUM(F11:F34)</f>
        <v>0</v>
      </c>
      <c r="G35" s="528"/>
      <c r="H35" s="528"/>
      <c r="I35" s="528"/>
      <c r="J35" s="528"/>
      <c r="K35" s="534">
        <f>SUM(K11:K34)</f>
        <v>79591</v>
      </c>
      <c r="L35" s="534">
        <f>SUM(L11:L34)</f>
        <v>60496</v>
      </c>
    </row>
    <row r="36" spans="1:19" ht="17.25" customHeight="1" x14ac:dyDescent="0.2">
      <c r="A36" s="1150" t="s">
        <v>109</v>
      </c>
      <c r="B36" s="1151"/>
      <c r="C36" s="1151"/>
      <c r="D36" s="1151"/>
      <c r="E36" s="1151"/>
      <c r="F36" s="1151"/>
      <c r="G36" s="1151"/>
      <c r="H36" s="1151"/>
      <c r="I36" s="1151"/>
      <c r="J36" s="1151"/>
      <c r="K36" s="1152"/>
      <c r="L36" s="1152"/>
    </row>
    <row r="37" spans="1:19" ht="17.25" customHeight="1" x14ac:dyDescent="0.2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</row>
    <row r="38" spans="1:19" ht="13.9" customHeight="1" x14ac:dyDescent="0.2">
      <c r="A38" s="702"/>
      <c r="B38" s="702"/>
      <c r="C38" s="702"/>
      <c r="D38" s="702"/>
      <c r="E38" s="702"/>
      <c r="F38" s="702"/>
      <c r="G38" s="702"/>
      <c r="H38" s="702"/>
      <c r="I38" s="702"/>
      <c r="J38" s="702"/>
      <c r="K38" s="702"/>
      <c r="L38" s="702"/>
      <c r="M38" s="702"/>
    </row>
    <row r="39" spans="1:19" s="15" customFormat="1" ht="15.75" customHeight="1" x14ac:dyDescent="0.2">
      <c r="A39" s="702"/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702"/>
      <c r="M39" s="702"/>
    </row>
    <row r="40" spans="1:19" s="15" customFormat="1" ht="13.15" customHeight="1" x14ac:dyDescent="0.25">
      <c r="A40" s="931" t="s">
        <v>11</v>
      </c>
      <c r="B40" s="931"/>
      <c r="C40" s="672"/>
      <c r="D40" s="670"/>
      <c r="E40" s="670"/>
      <c r="F40" s="671"/>
      <c r="G40" s="671"/>
      <c r="H40" s="704"/>
      <c r="I40" s="704"/>
      <c r="J40" s="703"/>
      <c r="K40" s="757" t="s">
        <v>1107</v>
      </c>
      <c r="L40" s="757"/>
      <c r="M40" s="702"/>
      <c r="N40" s="701"/>
      <c r="O40" s="76"/>
      <c r="P40" s="76"/>
      <c r="Q40" s="76"/>
      <c r="R40" s="76"/>
      <c r="S40" s="76"/>
    </row>
    <row r="41" spans="1:19" s="15" customFormat="1" ht="13.15" customHeight="1" x14ac:dyDescent="0.2">
      <c r="A41" s="671"/>
      <c r="B41" s="671"/>
      <c r="C41" s="671"/>
      <c r="D41" s="671"/>
      <c r="E41" s="671"/>
      <c r="F41" s="671"/>
      <c r="G41" s="671"/>
      <c r="H41" s="671"/>
      <c r="I41" s="671"/>
      <c r="J41" s="679" t="s">
        <v>1108</v>
      </c>
      <c r="K41" s="679"/>
      <c r="L41" s="679"/>
      <c r="M41" s="702"/>
      <c r="N41" s="680"/>
      <c r="O41" s="579"/>
      <c r="S41" s="76"/>
    </row>
    <row r="42" spans="1:19" s="15" customFormat="1" ht="13.15" customHeight="1" x14ac:dyDescent="0.2">
      <c r="A42" s="671"/>
      <c r="B42" s="671"/>
      <c r="C42" s="671"/>
      <c r="D42" s="671"/>
      <c r="E42" s="671"/>
      <c r="F42" s="671"/>
      <c r="G42" s="671"/>
      <c r="H42" s="671"/>
      <c r="I42" s="671"/>
      <c r="J42" s="679" t="s">
        <v>1113</v>
      </c>
      <c r="K42" s="679"/>
      <c r="L42" s="679"/>
      <c r="M42" s="702"/>
      <c r="N42" s="680"/>
      <c r="O42" s="579"/>
    </row>
    <row r="43" spans="1:19" ht="13.9" customHeight="1" x14ac:dyDescent="0.2">
      <c r="A43" s="702"/>
      <c r="B43" s="670"/>
      <c r="C43" s="670"/>
      <c r="D43" s="670"/>
      <c r="E43" s="670"/>
      <c r="F43" s="671"/>
      <c r="G43" s="671"/>
      <c r="H43" s="671"/>
      <c r="I43" s="671"/>
      <c r="J43" s="756" t="s">
        <v>1110</v>
      </c>
      <c r="K43" s="756"/>
      <c r="L43" s="756"/>
      <c r="M43" s="702"/>
      <c r="N43" s="701"/>
      <c r="O43" s="583"/>
    </row>
  </sheetData>
  <mergeCells count="21">
    <mergeCell ref="K7:K9"/>
    <mergeCell ref="A36:L36"/>
    <mergeCell ref="I8:J8"/>
    <mergeCell ref="B7:B9"/>
    <mergeCell ref="K1:L1"/>
    <mergeCell ref="B2:J2"/>
    <mergeCell ref="B3:J3"/>
    <mergeCell ref="G7:J7"/>
    <mergeCell ref="B5:L5"/>
    <mergeCell ref="E8:F8"/>
    <mergeCell ref="G8:G9"/>
    <mergeCell ref="A7:A9"/>
    <mergeCell ref="H8:H9"/>
    <mergeCell ref="D8:D9"/>
    <mergeCell ref="J43:L43"/>
    <mergeCell ref="K40:L40"/>
    <mergeCell ref="A40:B40"/>
    <mergeCell ref="C7:F7"/>
    <mergeCell ref="A35:B35"/>
    <mergeCell ref="C8:C9"/>
    <mergeCell ref="L7:L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7"/>
  <sheetViews>
    <sheetView view="pageBreakPreview" topLeftCell="A16" zoomScaleNormal="90" zoomScaleSheetLayoutView="100" workbookViewId="0">
      <selection activeCell="J32" sqref="J32"/>
    </sheetView>
  </sheetViews>
  <sheetFormatPr defaultRowHeight="12.75" x14ac:dyDescent="0.2"/>
  <cols>
    <col min="1" max="1" width="4.7109375" style="165" customWidth="1"/>
    <col min="2" max="2" width="35.140625" style="165" customWidth="1"/>
    <col min="3" max="11" width="7.85546875" style="165" customWidth="1"/>
    <col min="12" max="23" width="8" style="165" customWidth="1"/>
    <col min="24" max="16384" width="9.140625" style="165"/>
  </cols>
  <sheetData>
    <row r="1" spans="1:249" s="519" customFormat="1" ht="15" x14ac:dyDescent="0.2">
      <c r="O1" s="1164" t="s">
        <v>547</v>
      </c>
      <c r="P1" s="1164"/>
      <c r="Q1" s="1164"/>
      <c r="R1" s="1164"/>
      <c r="S1" s="1164"/>
      <c r="T1" s="1164"/>
      <c r="U1" s="1164"/>
    </row>
    <row r="2" spans="1:249" s="519" customFormat="1" ht="15.75" x14ac:dyDescent="0.25">
      <c r="C2" s="594">
        <f>C3+C5+C7+C8+C14</f>
        <v>34875.040000000001</v>
      </c>
      <c r="G2" s="520"/>
      <c r="H2" s="520"/>
      <c r="I2" s="521"/>
      <c r="J2" s="520" t="s">
        <v>0</v>
      </c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</row>
    <row r="3" spans="1:249" s="519" customFormat="1" ht="15.75" x14ac:dyDescent="0.25">
      <c r="C3" s="595">
        <v>916.87</v>
      </c>
      <c r="F3" s="520"/>
      <c r="G3" s="520"/>
      <c r="H3" s="520"/>
      <c r="I3" s="521"/>
      <c r="J3" s="521"/>
      <c r="K3" s="521"/>
      <c r="L3" s="596">
        <v>67.58</v>
      </c>
      <c r="M3" s="521"/>
      <c r="N3" s="521"/>
      <c r="O3" s="521"/>
      <c r="P3" s="521"/>
      <c r="Q3" s="521"/>
      <c r="R3" s="521"/>
      <c r="S3" s="521"/>
      <c r="T3" s="521"/>
      <c r="U3" s="521"/>
    </row>
    <row r="4" spans="1:249" s="519" customFormat="1" ht="18" x14ac:dyDescent="0.25">
      <c r="B4" s="1165" t="s">
        <v>694</v>
      </c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165"/>
    </row>
    <row r="5" spans="1:249" s="519" customFormat="1" x14ac:dyDescent="0.2">
      <c r="C5" s="595">
        <v>1133.0999999999999</v>
      </c>
      <c r="L5" s="595">
        <v>82.77</v>
      </c>
    </row>
    <row r="6" spans="1:249" s="519" customFormat="1" ht="15.75" x14ac:dyDescent="0.25">
      <c r="B6" s="1166" t="s">
        <v>707</v>
      </c>
      <c r="C6" s="1166"/>
      <c r="D6" s="1166"/>
      <c r="E6" s="1166"/>
      <c r="F6" s="1166"/>
      <c r="G6" s="1166"/>
      <c r="H6" s="1166"/>
      <c r="I6" s="1166"/>
      <c r="J6" s="1166"/>
      <c r="K6" s="1166"/>
      <c r="L6" s="1166"/>
      <c r="M6" s="1166"/>
      <c r="N6" s="1166"/>
      <c r="O6" s="1166"/>
      <c r="P6" s="1166"/>
      <c r="Q6" s="1166"/>
      <c r="R6" s="1166"/>
      <c r="S6" s="1166"/>
      <c r="T6" s="1166"/>
      <c r="U6" s="1166"/>
    </row>
    <row r="7" spans="1:249" s="519" customFormat="1" x14ac:dyDescent="0.2">
      <c r="C7" s="595">
        <v>4775.46</v>
      </c>
      <c r="G7" s="595">
        <v>3183.64</v>
      </c>
      <c r="L7" s="595">
        <v>371.286</v>
      </c>
      <c r="O7" s="595">
        <v>247.52</v>
      </c>
    </row>
    <row r="8" spans="1:249" s="519" customFormat="1" x14ac:dyDescent="0.2">
      <c r="A8" s="1167" t="s">
        <v>1099</v>
      </c>
      <c r="B8" s="1167"/>
      <c r="C8" s="595">
        <v>25156.59</v>
      </c>
      <c r="G8" s="595">
        <v>16754.099999999999</v>
      </c>
      <c r="I8" s="595">
        <v>538.32000000000005</v>
      </c>
      <c r="L8" s="595">
        <v>1837.64</v>
      </c>
      <c r="O8" s="595">
        <v>1223.8499999999999</v>
      </c>
      <c r="P8" s="595">
        <v>39.729999999999997</v>
      </c>
    </row>
    <row r="9" spans="1:249" s="519" customFormat="1" ht="18" x14ac:dyDescent="0.25">
      <c r="A9" s="522"/>
      <c r="B9" s="522"/>
      <c r="C9" s="595">
        <v>57</v>
      </c>
      <c r="D9" s="595">
        <v>15</v>
      </c>
      <c r="E9" s="595">
        <v>28</v>
      </c>
      <c r="F9" s="595"/>
      <c r="G9" s="595">
        <v>57</v>
      </c>
      <c r="H9" s="595">
        <v>15</v>
      </c>
      <c r="I9" s="595">
        <v>28</v>
      </c>
      <c r="L9" s="595">
        <v>57</v>
      </c>
      <c r="M9" s="595">
        <v>15</v>
      </c>
      <c r="N9" s="595">
        <v>28</v>
      </c>
      <c r="O9" s="595">
        <v>57</v>
      </c>
      <c r="P9" s="595">
        <v>15</v>
      </c>
      <c r="Q9" s="595">
        <v>28</v>
      </c>
      <c r="V9" s="1168" t="s">
        <v>241</v>
      </c>
      <c r="W9" s="1168"/>
    </row>
    <row r="10" spans="1:249" s="519" customFormat="1" ht="12.75" customHeight="1" x14ac:dyDescent="0.2">
      <c r="A10" s="1162" t="s">
        <v>1</v>
      </c>
      <c r="B10" s="1162" t="s">
        <v>104</v>
      </c>
      <c r="C10" s="1169" t="s">
        <v>1018</v>
      </c>
      <c r="D10" s="1169"/>
      <c r="E10" s="1169"/>
      <c r="F10" s="1169"/>
      <c r="G10" s="1169"/>
      <c r="H10" s="1169"/>
      <c r="I10" s="1169"/>
      <c r="J10" s="1169"/>
      <c r="K10" s="1169"/>
      <c r="L10" s="1169" t="s">
        <v>1057</v>
      </c>
      <c r="M10" s="1169"/>
      <c r="N10" s="1169"/>
      <c r="O10" s="1169"/>
      <c r="P10" s="1169"/>
      <c r="Q10" s="1169"/>
      <c r="R10" s="1169"/>
      <c r="S10" s="1169"/>
      <c r="T10" s="1169"/>
      <c r="U10" s="1162" t="s">
        <v>134</v>
      </c>
      <c r="V10" s="1162"/>
      <c r="W10" s="1162"/>
      <c r="X10" s="523"/>
      <c r="Y10" s="523"/>
      <c r="Z10" s="523"/>
      <c r="AA10" s="523"/>
      <c r="AB10" s="523"/>
      <c r="AC10" s="524"/>
      <c r="AD10" s="525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  <c r="BB10" s="523"/>
      <c r="BC10" s="523"/>
      <c r="BD10" s="523"/>
      <c r="BE10" s="523"/>
      <c r="BF10" s="523"/>
      <c r="BG10" s="523"/>
      <c r="BH10" s="523"/>
      <c r="BI10" s="523"/>
      <c r="BJ10" s="523"/>
      <c r="BK10" s="523"/>
      <c r="BL10" s="523"/>
      <c r="BM10" s="523"/>
      <c r="BN10" s="523"/>
      <c r="BO10" s="523"/>
      <c r="BP10" s="523"/>
      <c r="BQ10" s="523"/>
      <c r="BR10" s="523"/>
      <c r="BS10" s="523"/>
      <c r="BT10" s="523"/>
      <c r="BU10" s="523"/>
      <c r="BV10" s="523"/>
      <c r="BW10" s="523"/>
      <c r="BX10" s="523"/>
      <c r="BY10" s="523"/>
      <c r="BZ10" s="523"/>
      <c r="CA10" s="523"/>
      <c r="CB10" s="523"/>
      <c r="CC10" s="523"/>
      <c r="CD10" s="523"/>
      <c r="CE10" s="523"/>
      <c r="CF10" s="523"/>
      <c r="CG10" s="523"/>
      <c r="CH10" s="523"/>
      <c r="CI10" s="523"/>
      <c r="CJ10" s="523"/>
      <c r="CK10" s="523"/>
      <c r="CL10" s="523"/>
      <c r="CM10" s="523"/>
      <c r="CN10" s="523"/>
      <c r="CO10" s="523"/>
      <c r="CP10" s="523"/>
      <c r="CQ10" s="523"/>
      <c r="CR10" s="523"/>
      <c r="CS10" s="523"/>
      <c r="CT10" s="523"/>
      <c r="CU10" s="523"/>
      <c r="CV10" s="523"/>
      <c r="CW10" s="523"/>
      <c r="CX10" s="523"/>
      <c r="CY10" s="523"/>
      <c r="CZ10" s="523"/>
      <c r="DA10" s="523"/>
      <c r="DB10" s="523"/>
      <c r="DC10" s="523"/>
      <c r="DD10" s="523"/>
      <c r="DE10" s="523"/>
      <c r="DF10" s="523"/>
      <c r="DG10" s="523"/>
      <c r="DH10" s="523"/>
      <c r="DI10" s="523"/>
      <c r="DJ10" s="523"/>
      <c r="DK10" s="523"/>
      <c r="DL10" s="523"/>
      <c r="DM10" s="523"/>
      <c r="DN10" s="523"/>
      <c r="DO10" s="523"/>
      <c r="DP10" s="523"/>
      <c r="DQ10" s="523"/>
      <c r="DR10" s="523"/>
      <c r="DS10" s="523"/>
      <c r="DT10" s="523"/>
      <c r="DU10" s="523"/>
      <c r="DV10" s="523"/>
      <c r="DW10" s="523"/>
      <c r="DX10" s="523"/>
      <c r="DY10" s="523"/>
      <c r="DZ10" s="523"/>
      <c r="EA10" s="523"/>
      <c r="EB10" s="523"/>
      <c r="EC10" s="523"/>
      <c r="ED10" s="523"/>
      <c r="EE10" s="523"/>
      <c r="EF10" s="523"/>
      <c r="EG10" s="523"/>
      <c r="EH10" s="523"/>
      <c r="EI10" s="523"/>
      <c r="EJ10" s="523"/>
      <c r="EK10" s="523"/>
      <c r="EL10" s="523"/>
      <c r="EM10" s="523"/>
      <c r="EN10" s="523"/>
      <c r="EO10" s="523"/>
      <c r="EP10" s="523"/>
      <c r="EQ10" s="523"/>
      <c r="ER10" s="523"/>
      <c r="ES10" s="523"/>
      <c r="ET10" s="523"/>
      <c r="EU10" s="523"/>
      <c r="EV10" s="523"/>
      <c r="EW10" s="523"/>
      <c r="EX10" s="523"/>
      <c r="EY10" s="523"/>
      <c r="EZ10" s="523"/>
      <c r="FA10" s="523"/>
      <c r="FB10" s="523"/>
      <c r="FC10" s="523"/>
      <c r="FD10" s="523"/>
      <c r="FE10" s="523"/>
      <c r="FF10" s="523"/>
      <c r="FG10" s="523"/>
      <c r="FH10" s="523"/>
      <c r="FI10" s="523"/>
      <c r="FJ10" s="523"/>
      <c r="FK10" s="523"/>
      <c r="FL10" s="523"/>
      <c r="FM10" s="523"/>
      <c r="FN10" s="523"/>
      <c r="FO10" s="523"/>
      <c r="FP10" s="523"/>
      <c r="FQ10" s="523"/>
      <c r="FR10" s="523"/>
      <c r="FS10" s="523"/>
      <c r="FT10" s="523"/>
      <c r="FU10" s="523"/>
      <c r="FV10" s="523"/>
      <c r="FW10" s="523"/>
      <c r="FX10" s="523"/>
      <c r="FY10" s="523"/>
      <c r="FZ10" s="523"/>
      <c r="GA10" s="523"/>
      <c r="GB10" s="523"/>
      <c r="GC10" s="523"/>
      <c r="GD10" s="523"/>
      <c r="GE10" s="523"/>
      <c r="GF10" s="523"/>
      <c r="GG10" s="523"/>
      <c r="GH10" s="523"/>
      <c r="GI10" s="523"/>
      <c r="GJ10" s="523"/>
      <c r="GK10" s="523"/>
      <c r="GL10" s="523"/>
      <c r="GM10" s="523"/>
      <c r="GN10" s="523"/>
      <c r="GO10" s="523"/>
      <c r="GP10" s="523"/>
      <c r="GQ10" s="523"/>
      <c r="GR10" s="523"/>
      <c r="GS10" s="523"/>
      <c r="GT10" s="523"/>
      <c r="GU10" s="523"/>
      <c r="GV10" s="523"/>
      <c r="GW10" s="523"/>
      <c r="GX10" s="523"/>
      <c r="GY10" s="523"/>
      <c r="GZ10" s="523"/>
      <c r="HA10" s="523"/>
      <c r="HB10" s="523"/>
      <c r="HC10" s="523"/>
      <c r="HD10" s="523"/>
      <c r="HE10" s="523"/>
      <c r="HF10" s="523"/>
      <c r="HG10" s="523"/>
      <c r="HH10" s="523"/>
      <c r="HI10" s="523"/>
      <c r="HJ10" s="523"/>
      <c r="HK10" s="523"/>
      <c r="HL10" s="523"/>
      <c r="HM10" s="523"/>
      <c r="HN10" s="523"/>
      <c r="HO10" s="523"/>
      <c r="HP10" s="523"/>
      <c r="HQ10" s="523"/>
      <c r="HR10" s="523"/>
      <c r="HS10" s="523"/>
      <c r="HT10" s="523"/>
      <c r="HU10" s="523"/>
      <c r="HV10" s="523"/>
      <c r="HW10" s="523"/>
      <c r="HX10" s="523"/>
      <c r="HY10" s="523"/>
      <c r="HZ10" s="523"/>
      <c r="IA10" s="523"/>
      <c r="IB10" s="523"/>
      <c r="IC10" s="523"/>
      <c r="ID10" s="523"/>
      <c r="IE10" s="523"/>
      <c r="IF10" s="523"/>
      <c r="IG10" s="523"/>
      <c r="IH10" s="523"/>
      <c r="II10" s="523"/>
      <c r="IJ10" s="523"/>
      <c r="IK10" s="523"/>
      <c r="IL10" s="523"/>
      <c r="IM10" s="523"/>
      <c r="IN10" s="523"/>
      <c r="IO10" s="523"/>
    </row>
    <row r="11" spans="1:249" s="519" customFormat="1" ht="12.75" customHeight="1" x14ac:dyDescent="0.2">
      <c r="A11" s="1162"/>
      <c r="B11" s="1162"/>
      <c r="C11" s="1162" t="s">
        <v>167</v>
      </c>
      <c r="D11" s="1162"/>
      <c r="E11" s="1162"/>
      <c r="F11" s="1162" t="s">
        <v>168</v>
      </c>
      <c r="G11" s="1162"/>
      <c r="H11" s="1162"/>
      <c r="I11" s="1162" t="s">
        <v>15</v>
      </c>
      <c r="J11" s="1162"/>
      <c r="K11" s="1162"/>
      <c r="L11" s="1162" t="s">
        <v>167</v>
      </c>
      <c r="M11" s="1162"/>
      <c r="N11" s="1162"/>
      <c r="O11" s="1162" t="s">
        <v>168</v>
      </c>
      <c r="P11" s="1162"/>
      <c r="Q11" s="1162"/>
      <c r="R11" s="1162" t="s">
        <v>15</v>
      </c>
      <c r="S11" s="1162"/>
      <c r="T11" s="1162"/>
      <c r="U11" s="1162"/>
      <c r="V11" s="1162"/>
      <c r="W11" s="1162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523"/>
      <c r="BG11" s="523"/>
      <c r="BH11" s="523"/>
      <c r="BI11" s="523"/>
      <c r="BJ11" s="523"/>
      <c r="BK11" s="523"/>
      <c r="BL11" s="523"/>
      <c r="BM11" s="523"/>
      <c r="BN11" s="523"/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3"/>
      <c r="BZ11" s="523"/>
      <c r="CA11" s="523"/>
      <c r="CB11" s="523"/>
      <c r="CC11" s="523"/>
      <c r="CD11" s="523"/>
      <c r="CE11" s="523"/>
      <c r="CF11" s="523"/>
      <c r="CG11" s="523"/>
      <c r="CH11" s="523"/>
      <c r="CI11" s="523"/>
      <c r="CJ11" s="523"/>
      <c r="CK11" s="523"/>
      <c r="CL11" s="523"/>
      <c r="CM11" s="523"/>
      <c r="CN11" s="523"/>
      <c r="CO11" s="523"/>
      <c r="CP11" s="523"/>
      <c r="CQ11" s="523"/>
      <c r="CR11" s="523"/>
      <c r="CS11" s="523"/>
      <c r="CT11" s="523"/>
      <c r="CU11" s="523"/>
      <c r="CV11" s="523"/>
      <c r="CW11" s="523"/>
      <c r="CX11" s="523"/>
      <c r="CY11" s="523"/>
      <c r="CZ11" s="523"/>
      <c r="DA11" s="523"/>
      <c r="DB11" s="523"/>
      <c r="DC11" s="523"/>
      <c r="DD11" s="523"/>
      <c r="DE11" s="523"/>
      <c r="DF11" s="523"/>
      <c r="DG11" s="523"/>
      <c r="DH11" s="523"/>
      <c r="DI11" s="523"/>
      <c r="DJ11" s="523"/>
      <c r="DK11" s="523"/>
      <c r="DL11" s="523"/>
      <c r="DM11" s="523"/>
      <c r="DN11" s="523"/>
      <c r="DO11" s="523"/>
      <c r="DP11" s="523"/>
      <c r="DQ11" s="523"/>
      <c r="DR11" s="523"/>
      <c r="DS11" s="523"/>
      <c r="DT11" s="523"/>
      <c r="DU11" s="523"/>
      <c r="DV11" s="523"/>
      <c r="DW11" s="523"/>
      <c r="DX11" s="523"/>
      <c r="DY11" s="523"/>
      <c r="DZ11" s="523"/>
      <c r="EA11" s="523"/>
      <c r="EB11" s="523"/>
      <c r="EC11" s="523"/>
      <c r="ED11" s="523"/>
      <c r="EE11" s="523"/>
      <c r="EF11" s="523"/>
      <c r="EG11" s="523"/>
      <c r="EH11" s="523"/>
      <c r="EI11" s="523"/>
      <c r="EJ11" s="523"/>
      <c r="EK11" s="523"/>
      <c r="EL11" s="523"/>
      <c r="EM11" s="523"/>
      <c r="EN11" s="523"/>
      <c r="EO11" s="523"/>
      <c r="EP11" s="523"/>
      <c r="EQ11" s="523"/>
      <c r="ER11" s="523"/>
      <c r="ES11" s="523"/>
      <c r="ET11" s="523"/>
      <c r="EU11" s="523"/>
      <c r="EV11" s="523"/>
      <c r="EW11" s="523"/>
      <c r="EX11" s="523"/>
      <c r="EY11" s="523"/>
      <c r="EZ11" s="523"/>
      <c r="FA11" s="523"/>
      <c r="FB11" s="523"/>
      <c r="FC11" s="523"/>
      <c r="FD11" s="523"/>
      <c r="FE11" s="523"/>
      <c r="FF11" s="523"/>
      <c r="FG11" s="523"/>
      <c r="FH11" s="523"/>
      <c r="FI11" s="523"/>
      <c r="FJ11" s="523"/>
      <c r="FK11" s="523"/>
      <c r="FL11" s="523"/>
      <c r="FM11" s="523"/>
      <c r="FN11" s="523"/>
      <c r="FO11" s="523"/>
      <c r="FP11" s="523"/>
      <c r="FQ11" s="523"/>
      <c r="FR11" s="523"/>
      <c r="FS11" s="523"/>
      <c r="FT11" s="523"/>
      <c r="FU11" s="523"/>
      <c r="FV11" s="523"/>
      <c r="FW11" s="523"/>
      <c r="FX11" s="523"/>
      <c r="FY11" s="523"/>
      <c r="FZ11" s="523"/>
      <c r="GA11" s="523"/>
      <c r="GB11" s="523"/>
      <c r="GC11" s="523"/>
      <c r="GD11" s="523"/>
      <c r="GE11" s="523"/>
      <c r="GF11" s="523"/>
      <c r="GG11" s="523"/>
      <c r="GH11" s="523"/>
      <c r="GI11" s="523"/>
      <c r="GJ11" s="523"/>
      <c r="GK11" s="523"/>
      <c r="GL11" s="523"/>
      <c r="GM11" s="523"/>
      <c r="GN11" s="523"/>
      <c r="GO11" s="523"/>
      <c r="GP11" s="523"/>
      <c r="GQ11" s="523"/>
      <c r="GR11" s="523"/>
      <c r="GS11" s="523"/>
      <c r="GT11" s="523"/>
      <c r="GU11" s="523"/>
      <c r="GV11" s="523"/>
      <c r="GW11" s="523"/>
      <c r="GX11" s="523"/>
      <c r="GY11" s="523"/>
      <c r="GZ11" s="523"/>
      <c r="HA11" s="523"/>
      <c r="HB11" s="523"/>
      <c r="HC11" s="523"/>
      <c r="HD11" s="523"/>
      <c r="HE11" s="523"/>
      <c r="HF11" s="523"/>
      <c r="HG11" s="523"/>
      <c r="HH11" s="523"/>
      <c r="HI11" s="523"/>
      <c r="HJ11" s="523"/>
      <c r="HK11" s="523"/>
      <c r="HL11" s="523"/>
      <c r="HM11" s="523"/>
      <c r="HN11" s="523"/>
      <c r="HO11" s="523"/>
      <c r="HP11" s="523"/>
      <c r="HQ11" s="523"/>
      <c r="HR11" s="523"/>
      <c r="HS11" s="523"/>
      <c r="HT11" s="523"/>
      <c r="HU11" s="523"/>
      <c r="HV11" s="523"/>
      <c r="HW11" s="523"/>
      <c r="HX11" s="523"/>
      <c r="HY11" s="523"/>
      <c r="HZ11" s="523"/>
      <c r="IA11" s="523"/>
      <c r="IB11" s="523"/>
      <c r="IC11" s="523"/>
      <c r="ID11" s="523"/>
      <c r="IE11" s="523"/>
      <c r="IF11" s="523"/>
      <c r="IG11" s="523"/>
      <c r="IH11" s="523"/>
      <c r="II11" s="523"/>
      <c r="IJ11" s="523"/>
      <c r="IK11" s="523"/>
      <c r="IL11" s="523"/>
      <c r="IM11" s="523"/>
      <c r="IN11" s="523"/>
      <c r="IO11" s="523"/>
    </row>
    <row r="12" spans="1:249" s="519" customFormat="1" x14ac:dyDescent="0.2">
      <c r="A12" s="604"/>
      <c r="B12" s="604"/>
      <c r="C12" s="604" t="s">
        <v>242</v>
      </c>
      <c r="D12" s="604" t="s">
        <v>39</v>
      </c>
      <c r="E12" s="604" t="s">
        <v>40</v>
      </c>
      <c r="F12" s="604" t="s">
        <v>242</v>
      </c>
      <c r="G12" s="604" t="s">
        <v>39</v>
      </c>
      <c r="H12" s="604" t="s">
        <v>40</v>
      </c>
      <c r="I12" s="604" t="s">
        <v>242</v>
      </c>
      <c r="J12" s="604" t="s">
        <v>39</v>
      </c>
      <c r="K12" s="604" t="s">
        <v>40</v>
      </c>
      <c r="L12" s="604" t="s">
        <v>242</v>
      </c>
      <c r="M12" s="604" t="s">
        <v>39</v>
      </c>
      <c r="N12" s="604" t="s">
        <v>40</v>
      </c>
      <c r="O12" s="604" t="s">
        <v>242</v>
      </c>
      <c r="P12" s="604" t="s">
        <v>39</v>
      </c>
      <c r="Q12" s="604" t="s">
        <v>40</v>
      </c>
      <c r="R12" s="604" t="s">
        <v>242</v>
      </c>
      <c r="S12" s="604" t="s">
        <v>39</v>
      </c>
      <c r="T12" s="604" t="s">
        <v>40</v>
      </c>
      <c r="U12" s="604" t="s">
        <v>242</v>
      </c>
      <c r="V12" s="604" t="s">
        <v>39</v>
      </c>
      <c r="W12" s="604" t="s">
        <v>40</v>
      </c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523"/>
      <c r="BI12" s="523"/>
      <c r="BJ12" s="523"/>
      <c r="BK12" s="523"/>
      <c r="BL12" s="523"/>
      <c r="BM12" s="523"/>
      <c r="BN12" s="523"/>
      <c r="BO12" s="523"/>
      <c r="BP12" s="523"/>
      <c r="BQ12" s="523"/>
      <c r="BR12" s="523"/>
      <c r="BS12" s="523"/>
      <c r="BT12" s="523"/>
      <c r="BU12" s="523"/>
      <c r="BV12" s="523"/>
      <c r="BW12" s="523"/>
      <c r="BX12" s="523"/>
      <c r="BY12" s="523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3"/>
      <c r="CT12" s="523"/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3"/>
      <c r="DI12" s="523"/>
      <c r="DJ12" s="523"/>
      <c r="DK12" s="523"/>
      <c r="DL12" s="523"/>
      <c r="DM12" s="523"/>
      <c r="DN12" s="523"/>
      <c r="DO12" s="523"/>
      <c r="DP12" s="523"/>
      <c r="DQ12" s="523"/>
      <c r="DR12" s="523"/>
      <c r="DS12" s="523"/>
      <c r="DT12" s="523"/>
      <c r="DU12" s="523"/>
      <c r="DV12" s="523"/>
      <c r="DW12" s="523"/>
      <c r="DX12" s="523"/>
      <c r="DY12" s="523"/>
      <c r="DZ12" s="523"/>
      <c r="EA12" s="523"/>
      <c r="EB12" s="523"/>
      <c r="EC12" s="523"/>
      <c r="ED12" s="523"/>
      <c r="EE12" s="523"/>
      <c r="EF12" s="523"/>
      <c r="EG12" s="523"/>
      <c r="EH12" s="523"/>
      <c r="EI12" s="523"/>
      <c r="EJ12" s="523"/>
      <c r="EK12" s="523"/>
      <c r="EL12" s="523"/>
      <c r="EM12" s="523"/>
      <c r="EN12" s="523"/>
      <c r="EO12" s="523"/>
      <c r="EP12" s="523"/>
      <c r="EQ12" s="523"/>
      <c r="ER12" s="523"/>
      <c r="ES12" s="523"/>
      <c r="ET12" s="523"/>
      <c r="EU12" s="523"/>
      <c r="EV12" s="523"/>
      <c r="EW12" s="523"/>
      <c r="EX12" s="523"/>
      <c r="EY12" s="523"/>
      <c r="EZ12" s="523"/>
      <c r="FA12" s="523"/>
      <c r="FB12" s="523"/>
      <c r="FC12" s="523"/>
      <c r="FD12" s="523"/>
      <c r="FE12" s="523"/>
      <c r="FF12" s="523"/>
      <c r="FG12" s="523"/>
      <c r="FH12" s="523"/>
      <c r="FI12" s="523"/>
      <c r="FJ12" s="523"/>
      <c r="FK12" s="523"/>
      <c r="FL12" s="523"/>
      <c r="FM12" s="523"/>
      <c r="FN12" s="523"/>
      <c r="FO12" s="523"/>
      <c r="FP12" s="523"/>
      <c r="FQ12" s="523"/>
      <c r="FR12" s="523"/>
      <c r="FS12" s="523"/>
      <c r="FT12" s="523"/>
      <c r="FU12" s="523"/>
      <c r="FV12" s="523"/>
      <c r="FW12" s="523"/>
      <c r="FX12" s="523"/>
      <c r="FY12" s="523"/>
      <c r="FZ12" s="523"/>
      <c r="GA12" s="523"/>
      <c r="GB12" s="523"/>
      <c r="GC12" s="523"/>
      <c r="GD12" s="523"/>
      <c r="GE12" s="523"/>
      <c r="GF12" s="523"/>
      <c r="GG12" s="523"/>
      <c r="GH12" s="523"/>
      <c r="GI12" s="523"/>
      <c r="GJ12" s="523"/>
      <c r="GK12" s="523"/>
      <c r="GL12" s="523"/>
      <c r="GM12" s="523"/>
      <c r="GN12" s="523"/>
      <c r="GO12" s="523"/>
      <c r="GP12" s="523"/>
      <c r="GQ12" s="523"/>
      <c r="GR12" s="523"/>
      <c r="GS12" s="523"/>
      <c r="GT12" s="523"/>
      <c r="GU12" s="523"/>
      <c r="GV12" s="523"/>
      <c r="GW12" s="523"/>
      <c r="GX12" s="523"/>
      <c r="GY12" s="523"/>
      <c r="GZ12" s="523"/>
      <c r="HA12" s="523"/>
      <c r="HB12" s="523"/>
      <c r="HC12" s="523"/>
      <c r="HD12" s="523"/>
      <c r="HE12" s="523"/>
      <c r="HF12" s="523"/>
      <c r="HG12" s="523"/>
      <c r="HH12" s="523"/>
      <c r="HI12" s="523"/>
      <c r="HJ12" s="523"/>
      <c r="HK12" s="523"/>
      <c r="HL12" s="523"/>
      <c r="HM12" s="523"/>
      <c r="HN12" s="523"/>
      <c r="HO12" s="523"/>
      <c r="HP12" s="523"/>
      <c r="HQ12" s="523"/>
      <c r="HR12" s="523"/>
      <c r="HS12" s="523"/>
      <c r="HT12" s="523"/>
      <c r="HU12" s="523"/>
      <c r="HV12" s="523"/>
      <c r="HW12" s="523"/>
      <c r="HX12" s="523"/>
      <c r="HY12" s="523"/>
      <c r="HZ12" s="523"/>
      <c r="IA12" s="523"/>
      <c r="IB12" s="523"/>
      <c r="IC12" s="523"/>
      <c r="ID12" s="523"/>
      <c r="IE12" s="523"/>
      <c r="IF12" s="523"/>
      <c r="IG12" s="523"/>
      <c r="IH12" s="523"/>
      <c r="II12" s="523"/>
      <c r="IJ12" s="523"/>
      <c r="IK12" s="523"/>
      <c r="IL12" s="523"/>
      <c r="IM12" s="523"/>
      <c r="IN12" s="523"/>
      <c r="IO12" s="523"/>
    </row>
    <row r="13" spans="1:249" s="519" customFormat="1" x14ac:dyDescent="0.2">
      <c r="A13" s="604">
        <v>1</v>
      </c>
      <c r="B13" s="604">
        <v>2</v>
      </c>
      <c r="C13" s="604">
        <v>3</v>
      </c>
      <c r="D13" s="604">
        <v>4</v>
      </c>
      <c r="E13" s="604">
        <v>5</v>
      </c>
      <c r="F13" s="604">
        <v>7</v>
      </c>
      <c r="G13" s="604">
        <v>8</v>
      </c>
      <c r="H13" s="604">
        <v>9</v>
      </c>
      <c r="I13" s="604">
        <v>11</v>
      </c>
      <c r="J13" s="604">
        <v>12</v>
      </c>
      <c r="K13" s="604">
        <v>13</v>
      </c>
      <c r="L13" s="604">
        <v>15</v>
      </c>
      <c r="M13" s="604">
        <v>16</v>
      </c>
      <c r="N13" s="604">
        <v>17</v>
      </c>
      <c r="O13" s="604">
        <v>19</v>
      </c>
      <c r="P13" s="604">
        <v>20</v>
      </c>
      <c r="Q13" s="604">
        <v>21</v>
      </c>
      <c r="R13" s="604">
        <v>23</v>
      </c>
      <c r="S13" s="604">
        <v>24</v>
      </c>
      <c r="T13" s="604">
        <v>25</v>
      </c>
      <c r="U13" s="604">
        <v>27</v>
      </c>
      <c r="V13" s="604">
        <v>28</v>
      </c>
      <c r="W13" s="604">
        <v>29</v>
      </c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  <c r="EH13" s="526"/>
      <c r="EI13" s="526"/>
      <c r="EJ13" s="526"/>
      <c r="EK13" s="526"/>
      <c r="EL13" s="526"/>
      <c r="EM13" s="526"/>
      <c r="EN13" s="526"/>
      <c r="EO13" s="526"/>
      <c r="EP13" s="526"/>
      <c r="EQ13" s="526"/>
      <c r="ER13" s="526"/>
      <c r="ES13" s="526"/>
      <c r="ET13" s="526"/>
      <c r="EU13" s="526"/>
      <c r="EV13" s="526"/>
      <c r="EW13" s="526"/>
      <c r="EX13" s="526"/>
      <c r="EY13" s="526"/>
      <c r="EZ13" s="526"/>
      <c r="FA13" s="526"/>
      <c r="FB13" s="526"/>
      <c r="FC13" s="526"/>
      <c r="FD13" s="526"/>
      <c r="FE13" s="526"/>
      <c r="FF13" s="526"/>
      <c r="FG13" s="526"/>
      <c r="FH13" s="526"/>
      <c r="FI13" s="526"/>
      <c r="FJ13" s="526"/>
      <c r="FK13" s="526"/>
      <c r="FL13" s="526"/>
      <c r="FM13" s="526"/>
      <c r="FN13" s="526"/>
      <c r="FO13" s="526"/>
      <c r="FP13" s="526"/>
      <c r="FQ13" s="526"/>
      <c r="FR13" s="526"/>
      <c r="FS13" s="526"/>
      <c r="FT13" s="526"/>
      <c r="FU13" s="526"/>
      <c r="FV13" s="526"/>
      <c r="FW13" s="526"/>
      <c r="FX13" s="526"/>
      <c r="FY13" s="526"/>
      <c r="FZ13" s="526"/>
      <c r="GA13" s="526"/>
      <c r="GB13" s="526"/>
      <c r="GC13" s="526"/>
      <c r="GD13" s="526"/>
      <c r="GE13" s="526"/>
      <c r="GF13" s="526"/>
      <c r="GG13" s="526"/>
      <c r="GH13" s="526"/>
      <c r="GI13" s="526"/>
      <c r="GJ13" s="526"/>
      <c r="GK13" s="526"/>
      <c r="GL13" s="526"/>
      <c r="GM13" s="526"/>
      <c r="GN13" s="526"/>
      <c r="GO13" s="526"/>
      <c r="GP13" s="526"/>
      <c r="GQ13" s="526"/>
      <c r="GR13" s="526"/>
      <c r="GS13" s="526"/>
      <c r="GT13" s="526"/>
      <c r="GU13" s="526"/>
      <c r="GV13" s="526"/>
      <c r="GW13" s="526"/>
      <c r="GX13" s="526"/>
      <c r="GY13" s="526"/>
      <c r="GZ13" s="526"/>
      <c r="HA13" s="526"/>
      <c r="HB13" s="526"/>
      <c r="HC13" s="526"/>
      <c r="HD13" s="526"/>
      <c r="HE13" s="526"/>
      <c r="HF13" s="526"/>
      <c r="HG13" s="526"/>
      <c r="HH13" s="526"/>
      <c r="HI13" s="526"/>
      <c r="HJ13" s="526"/>
      <c r="HK13" s="526"/>
      <c r="HL13" s="526"/>
      <c r="HM13" s="526"/>
      <c r="HN13" s="526"/>
      <c r="HO13" s="526"/>
      <c r="HP13" s="526"/>
      <c r="HQ13" s="526"/>
      <c r="HR13" s="526"/>
      <c r="HS13" s="526"/>
      <c r="HT13" s="526"/>
      <c r="HU13" s="526"/>
      <c r="HV13" s="526"/>
      <c r="HW13" s="526"/>
      <c r="HX13" s="526"/>
      <c r="HY13" s="526"/>
      <c r="HZ13" s="526"/>
      <c r="IA13" s="526"/>
      <c r="IB13" s="526"/>
      <c r="IC13" s="526"/>
      <c r="ID13" s="526"/>
      <c r="IE13" s="526"/>
      <c r="IF13" s="526"/>
      <c r="IG13" s="526"/>
      <c r="IH13" s="526"/>
      <c r="II13" s="526"/>
      <c r="IJ13" s="526"/>
      <c r="IK13" s="526"/>
      <c r="IL13" s="526"/>
      <c r="IM13" s="526"/>
      <c r="IN13" s="526"/>
      <c r="IO13" s="526"/>
    </row>
    <row r="14" spans="1:249" s="519" customFormat="1" ht="12.75" customHeight="1" x14ac:dyDescent="0.2">
      <c r="A14" s="1161" t="s">
        <v>234</v>
      </c>
      <c r="B14" s="1161"/>
      <c r="C14" s="605">
        <v>2893.02</v>
      </c>
      <c r="D14" s="604"/>
      <c r="E14" s="604"/>
      <c r="F14" s="604"/>
      <c r="G14" s="604"/>
      <c r="H14" s="604"/>
      <c r="I14" s="604"/>
      <c r="J14" s="604"/>
      <c r="K14" s="604"/>
      <c r="L14" s="606">
        <v>211.33</v>
      </c>
      <c r="M14" s="604"/>
      <c r="N14" s="604"/>
      <c r="O14" s="604"/>
      <c r="P14" s="604"/>
      <c r="Q14" s="604"/>
      <c r="R14" s="604"/>
      <c r="S14" s="604"/>
      <c r="T14" s="604"/>
      <c r="U14" s="607"/>
      <c r="V14" s="608"/>
      <c r="W14" s="608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6"/>
      <c r="DV14" s="526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  <c r="EG14" s="526"/>
      <c r="EH14" s="526"/>
      <c r="EI14" s="526"/>
      <c r="EJ14" s="526"/>
      <c r="EK14" s="526"/>
      <c r="EL14" s="526"/>
      <c r="EM14" s="526"/>
      <c r="EN14" s="526"/>
      <c r="EO14" s="526"/>
      <c r="EP14" s="526"/>
      <c r="EQ14" s="526"/>
      <c r="ER14" s="526"/>
      <c r="ES14" s="526"/>
      <c r="ET14" s="526"/>
      <c r="EU14" s="526"/>
      <c r="EV14" s="526"/>
      <c r="EW14" s="526"/>
      <c r="EX14" s="526"/>
      <c r="EY14" s="526"/>
      <c r="EZ14" s="526"/>
      <c r="FA14" s="526"/>
      <c r="FB14" s="526"/>
      <c r="FC14" s="526"/>
      <c r="FD14" s="526"/>
      <c r="FE14" s="526"/>
      <c r="FF14" s="526"/>
      <c r="FG14" s="526"/>
      <c r="FH14" s="526"/>
      <c r="FI14" s="526"/>
      <c r="FJ14" s="526"/>
      <c r="FK14" s="526"/>
      <c r="FL14" s="526"/>
      <c r="FM14" s="526"/>
      <c r="FN14" s="526"/>
      <c r="FO14" s="526"/>
      <c r="FP14" s="526"/>
      <c r="FQ14" s="526"/>
      <c r="FR14" s="526"/>
      <c r="FS14" s="526"/>
      <c r="FT14" s="526"/>
      <c r="FU14" s="526"/>
      <c r="FV14" s="526"/>
      <c r="FW14" s="526"/>
      <c r="FX14" s="526"/>
      <c r="FY14" s="526"/>
      <c r="FZ14" s="526"/>
      <c r="GA14" s="526"/>
      <c r="GB14" s="526"/>
      <c r="GC14" s="526"/>
      <c r="GD14" s="526"/>
      <c r="GE14" s="526"/>
      <c r="GF14" s="526"/>
      <c r="GG14" s="526"/>
      <c r="GH14" s="526"/>
      <c r="GI14" s="526"/>
      <c r="GJ14" s="526"/>
      <c r="GK14" s="526"/>
      <c r="GL14" s="526"/>
      <c r="GM14" s="526"/>
      <c r="GN14" s="526"/>
      <c r="GO14" s="526"/>
      <c r="GP14" s="526"/>
      <c r="GQ14" s="526"/>
      <c r="GR14" s="526"/>
      <c r="GS14" s="526"/>
      <c r="GT14" s="526"/>
      <c r="GU14" s="526"/>
      <c r="GV14" s="526"/>
      <c r="GW14" s="526"/>
      <c r="GX14" s="526"/>
      <c r="GY14" s="526"/>
      <c r="GZ14" s="526"/>
      <c r="HA14" s="526"/>
      <c r="HB14" s="526"/>
      <c r="HC14" s="526"/>
      <c r="HD14" s="526"/>
      <c r="HE14" s="526"/>
      <c r="HF14" s="526"/>
      <c r="HG14" s="526"/>
      <c r="HH14" s="526"/>
      <c r="HI14" s="526"/>
      <c r="HJ14" s="526"/>
      <c r="HK14" s="526"/>
      <c r="HL14" s="526"/>
      <c r="HM14" s="526"/>
      <c r="HN14" s="526"/>
      <c r="HO14" s="526"/>
      <c r="HP14" s="526"/>
      <c r="HQ14" s="526"/>
      <c r="HR14" s="526"/>
      <c r="HS14" s="526"/>
      <c r="HT14" s="526"/>
      <c r="HU14" s="526"/>
      <c r="HV14" s="526"/>
      <c r="HW14" s="526"/>
      <c r="HX14" s="526"/>
      <c r="HY14" s="526"/>
      <c r="HZ14" s="526"/>
      <c r="IA14" s="526"/>
      <c r="IB14" s="526"/>
      <c r="IC14" s="526"/>
      <c r="ID14" s="526"/>
      <c r="IE14" s="526"/>
      <c r="IF14" s="526"/>
      <c r="IG14" s="526"/>
      <c r="IH14" s="526"/>
      <c r="II14" s="526"/>
      <c r="IJ14" s="526"/>
      <c r="IK14" s="526"/>
      <c r="IL14" s="526"/>
      <c r="IM14" s="526"/>
      <c r="IN14" s="526"/>
      <c r="IO14" s="526"/>
    </row>
    <row r="15" spans="1:249" x14ac:dyDescent="0.2">
      <c r="A15" s="167">
        <v>1</v>
      </c>
      <c r="B15" s="168" t="s">
        <v>119</v>
      </c>
      <c r="C15" s="518">
        <f>C9/100*C14</f>
        <v>1649.0213999999999</v>
      </c>
      <c r="D15" s="518">
        <f>D9/100*C14</f>
        <v>433.95299999999997</v>
      </c>
      <c r="E15" s="518">
        <f>E9/100*C14</f>
        <v>810.04560000000004</v>
      </c>
      <c r="F15" s="518">
        <v>0</v>
      </c>
      <c r="G15" s="518">
        <v>0</v>
      </c>
      <c r="H15" s="518">
        <v>0</v>
      </c>
      <c r="I15" s="518">
        <f>C15+F15</f>
        <v>1649.0213999999999</v>
      </c>
      <c r="J15" s="518">
        <f t="shared" ref="J15:K19" si="0">D15+G15</f>
        <v>433.95299999999997</v>
      </c>
      <c r="K15" s="518">
        <f t="shared" si="0"/>
        <v>810.04560000000004</v>
      </c>
      <c r="L15" s="518">
        <f>L9/100*L14</f>
        <v>120.4581</v>
      </c>
      <c r="M15" s="518">
        <f>M9/100*L14</f>
        <v>31.6995</v>
      </c>
      <c r="N15" s="518">
        <f>N9/100*L14</f>
        <v>59.17240000000001</v>
      </c>
      <c r="O15" s="518">
        <v>0</v>
      </c>
      <c r="P15" s="518">
        <v>0</v>
      </c>
      <c r="Q15" s="518">
        <v>0</v>
      </c>
      <c r="R15" s="518">
        <f>L15+O15</f>
        <v>120.4581</v>
      </c>
      <c r="S15" s="518">
        <f t="shared" ref="S15:T19" si="1">M15+P15</f>
        <v>31.6995</v>
      </c>
      <c r="T15" s="518">
        <f t="shared" si="1"/>
        <v>59.17240000000001</v>
      </c>
      <c r="U15" s="518">
        <f>I15+R15</f>
        <v>1769.4794999999999</v>
      </c>
      <c r="V15" s="518">
        <f t="shared" ref="V15:W19" si="2">J15+S15</f>
        <v>465.65249999999997</v>
      </c>
      <c r="W15" s="518">
        <f t="shared" si="2"/>
        <v>869.21800000000007</v>
      </c>
    </row>
    <row r="16" spans="1:249" x14ac:dyDescent="0.2">
      <c r="A16" s="167">
        <v>2</v>
      </c>
      <c r="B16" s="169" t="s">
        <v>472</v>
      </c>
      <c r="C16" s="518">
        <f>C9/100*C8</f>
        <v>14339.256299999999</v>
      </c>
      <c r="D16" s="518">
        <f>D9/100*C8</f>
        <v>3773.4884999999999</v>
      </c>
      <c r="E16" s="518">
        <f>E9/100*C8</f>
        <v>7043.8452000000007</v>
      </c>
      <c r="F16" s="518">
        <f>G9/100*G8</f>
        <v>9549.8369999999977</v>
      </c>
      <c r="G16" s="518">
        <f>H9/100*G8</f>
        <v>2513.1149999999998</v>
      </c>
      <c r="H16" s="518">
        <f>I9/100*G8</f>
        <v>4691.1480000000001</v>
      </c>
      <c r="I16" s="518">
        <f>C16+F16</f>
        <v>23889.093299999997</v>
      </c>
      <c r="J16" s="518">
        <f t="shared" si="0"/>
        <v>6286.6034999999993</v>
      </c>
      <c r="K16" s="518">
        <f t="shared" si="0"/>
        <v>11734.993200000001</v>
      </c>
      <c r="L16" s="518">
        <f>L9/100*L8</f>
        <v>1047.4548</v>
      </c>
      <c r="M16" s="518">
        <f>M9/100*L8</f>
        <v>275.64600000000002</v>
      </c>
      <c r="N16" s="518">
        <f>28/100*L8</f>
        <v>514.53920000000005</v>
      </c>
      <c r="O16" s="518">
        <f>O9/100*O8</f>
        <v>697.59449999999993</v>
      </c>
      <c r="P16" s="518">
        <f>P9/100*O8</f>
        <v>183.57749999999999</v>
      </c>
      <c r="Q16" s="518">
        <f>28/100*O8</f>
        <v>342.678</v>
      </c>
      <c r="R16" s="518">
        <f>L16+O16</f>
        <v>1745.0492999999999</v>
      </c>
      <c r="S16" s="518">
        <f t="shared" si="1"/>
        <v>459.2235</v>
      </c>
      <c r="T16" s="518">
        <f t="shared" si="1"/>
        <v>857.21720000000005</v>
      </c>
      <c r="U16" s="518">
        <f>I16+R16</f>
        <v>25634.142599999996</v>
      </c>
      <c r="V16" s="518">
        <f t="shared" si="2"/>
        <v>6745.8269999999993</v>
      </c>
      <c r="W16" s="518">
        <f t="shared" si="2"/>
        <v>12592.2104</v>
      </c>
    </row>
    <row r="17" spans="1:23" ht="11.25" customHeight="1" x14ac:dyDescent="0.2">
      <c r="A17" s="167">
        <v>3</v>
      </c>
      <c r="B17" s="169" t="s">
        <v>123</v>
      </c>
      <c r="C17" s="518">
        <f>C9/100*C7</f>
        <v>2722.0121999999997</v>
      </c>
      <c r="D17" s="518">
        <f>15/100*C7</f>
        <v>716.31899999999996</v>
      </c>
      <c r="E17" s="518">
        <f>28/100*C7</f>
        <v>1337.1288000000002</v>
      </c>
      <c r="F17" s="518">
        <f>G9/100*G7</f>
        <v>1814.6747999999998</v>
      </c>
      <c r="G17" s="518">
        <f>H9/100*G7</f>
        <v>477.54599999999994</v>
      </c>
      <c r="H17" s="518">
        <f>I9/100*G7</f>
        <v>891.41920000000005</v>
      </c>
      <c r="I17" s="518">
        <f>C17+F17</f>
        <v>4536.6869999999999</v>
      </c>
      <c r="J17" s="518">
        <f t="shared" si="0"/>
        <v>1193.8649999999998</v>
      </c>
      <c r="K17" s="518">
        <f t="shared" si="0"/>
        <v>2228.5480000000002</v>
      </c>
      <c r="L17" s="518">
        <f>L9/100*L7</f>
        <v>211.63301999999999</v>
      </c>
      <c r="M17" s="518">
        <f>M9/100*L7</f>
        <v>55.692900000000002</v>
      </c>
      <c r="N17" s="518">
        <f>N9/100*L7</f>
        <v>103.96008</v>
      </c>
      <c r="O17" s="518">
        <f>O9/100*O7</f>
        <v>141.0864</v>
      </c>
      <c r="P17" s="518">
        <f>15/100*O7</f>
        <v>37.128</v>
      </c>
      <c r="Q17" s="518">
        <f>28/100*O7</f>
        <v>69.305600000000013</v>
      </c>
      <c r="R17" s="518">
        <f>L17+O17</f>
        <v>352.71942000000001</v>
      </c>
      <c r="S17" s="518">
        <f t="shared" si="1"/>
        <v>92.820899999999995</v>
      </c>
      <c r="T17" s="518">
        <f t="shared" si="1"/>
        <v>173.26568000000003</v>
      </c>
      <c r="U17" s="518">
        <f>I17+R17</f>
        <v>4889.4064200000003</v>
      </c>
      <c r="V17" s="518">
        <f t="shared" si="2"/>
        <v>1286.6858999999997</v>
      </c>
      <c r="W17" s="518">
        <f t="shared" si="2"/>
        <v>2401.8136800000002</v>
      </c>
    </row>
    <row r="18" spans="1:23" ht="12.6" customHeight="1" x14ac:dyDescent="0.2">
      <c r="A18" s="167">
        <v>4</v>
      </c>
      <c r="B18" s="169" t="s">
        <v>121</v>
      </c>
      <c r="C18" s="518">
        <f>C9/100*C5</f>
        <v>645.86699999999985</v>
      </c>
      <c r="D18" s="518">
        <f>15/100*C5</f>
        <v>169.96499999999997</v>
      </c>
      <c r="E18" s="518">
        <f>28/100*C5</f>
        <v>317.26800000000003</v>
      </c>
      <c r="F18" s="518">
        <v>0</v>
      </c>
      <c r="G18" s="518">
        <v>0</v>
      </c>
      <c r="H18" s="518">
        <v>0</v>
      </c>
      <c r="I18" s="518">
        <f>C18+F18</f>
        <v>645.86699999999985</v>
      </c>
      <c r="J18" s="518">
        <f t="shared" si="0"/>
        <v>169.96499999999997</v>
      </c>
      <c r="K18" s="518">
        <f t="shared" si="0"/>
        <v>317.26800000000003</v>
      </c>
      <c r="L18" s="518">
        <f>L9/100*L5</f>
        <v>47.178899999999992</v>
      </c>
      <c r="M18" s="518">
        <f>M9/100*L5</f>
        <v>12.4155</v>
      </c>
      <c r="N18" s="518">
        <f>N9/100*L5</f>
        <v>23.175600000000003</v>
      </c>
      <c r="O18" s="518">
        <v>0</v>
      </c>
      <c r="P18" s="518">
        <v>0</v>
      </c>
      <c r="Q18" s="518">
        <v>0</v>
      </c>
      <c r="R18" s="518">
        <f>L18+O18</f>
        <v>47.178899999999992</v>
      </c>
      <c r="S18" s="518">
        <f t="shared" si="1"/>
        <v>12.4155</v>
      </c>
      <c r="T18" s="518">
        <f t="shared" si="1"/>
        <v>23.175600000000003</v>
      </c>
      <c r="U18" s="518">
        <f>I18+R18</f>
        <v>693.04589999999985</v>
      </c>
      <c r="V18" s="518">
        <f t="shared" si="2"/>
        <v>182.38049999999998</v>
      </c>
      <c r="W18" s="518">
        <f t="shared" si="2"/>
        <v>340.44360000000006</v>
      </c>
    </row>
    <row r="19" spans="1:23" x14ac:dyDescent="0.2">
      <c r="A19" s="167">
        <v>5</v>
      </c>
      <c r="B19" s="168" t="s">
        <v>122</v>
      </c>
      <c r="C19" s="518">
        <f>C9/100*C3</f>
        <v>522.61590000000001</v>
      </c>
      <c r="D19" s="518">
        <f>D9/100*C3</f>
        <v>137.53049999999999</v>
      </c>
      <c r="E19" s="518">
        <f>28/100*C3</f>
        <v>256.72360000000003</v>
      </c>
      <c r="F19" s="518">
        <f>57/100*I8</f>
        <v>306.8424</v>
      </c>
      <c r="G19" s="518">
        <f>15/100*I8</f>
        <v>80.748000000000005</v>
      </c>
      <c r="H19" s="518">
        <f>28/100*I8</f>
        <v>150.72960000000003</v>
      </c>
      <c r="I19" s="518">
        <f>C19+F19</f>
        <v>829.45830000000001</v>
      </c>
      <c r="J19" s="518">
        <f t="shared" si="0"/>
        <v>218.27850000000001</v>
      </c>
      <c r="K19" s="518">
        <f t="shared" si="0"/>
        <v>407.45320000000004</v>
      </c>
      <c r="L19" s="518">
        <f>L9/100*L3</f>
        <v>38.520599999999995</v>
      </c>
      <c r="M19" s="518">
        <f>15/100*L3</f>
        <v>10.136999999999999</v>
      </c>
      <c r="N19" s="518">
        <f>28/100*L3</f>
        <v>18.9224</v>
      </c>
      <c r="O19" s="518">
        <f>57/100*P8</f>
        <v>22.646099999999997</v>
      </c>
      <c r="P19" s="518">
        <f>15/100*P8</f>
        <v>5.9594999999999994</v>
      </c>
      <c r="Q19" s="518">
        <f>28/100*P8</f>
        <v>11.1244</v>
      </c>
      <c r="R19" s="518">
        <f>L19+O19</f>
        <v>61.166699999999992</v>
      </c>
      <c r="S19" s="518">
        <f t="shared" si="1"/>
        <v>16.096499999999999</v>
      </c>
      <c r="T19" s="518">
        <f t="shared" si="1"/>
        <v>30.046799999999998</v>
      </c>
      <c r="U19" s="518">
        <f>I19+R19</f>
        <v>890.625</v>
      </c>
      <c r="V19" s="518">
        <f t="shared" si="2"/>
        <v>234.375</v>
      </c>
      <c r="W19" s="518">
        <f t="shared" si="2"/>
        <v>437.50000000000006</v>
      </c>
    </row>
    <row r="20" spans="1:23" s="166" customFormat="1" x14ac:dyDescent="0.2">
      <c r="A20" s="1163" t="s">
        <v>15</v>
      </c>
      <c r="B20" s="1163"/>
      <c r="C20" s="527">
        <f>SUM(C15:C19)</f>
        <v>19878.772799999999</v>
      </c>
      <c r="D20" s="527">
        <f t="shared" ref="D20:W20" si="3">SUM(D15:D19)</f>
        <v>5231.2560000000003</v>
      </c>
      <c r="E20" s="527">
        <f t="shared" si="3"/>
        <v>9765.0112000000008</v>
      </c>
      <c r="F20" s="527">
        <f t="shared" si="3"/>
        <v>11671.354199999996</v>
      </c>
      <c r="G20" s="527">
        <f t="shared" si="3"/>
        <v>3071.4089999999997</v>
      </c>
      <c r="H20" s="527">
        <f t="shared" si="3"/>
        <v>5733.2968000000001</v>
      </c>
      <c r="I20" s="527">
        <f t="shared" si="3"/>
        <v>31550.126999999993</v>
      </c>
      <c r="J20" s="527">
        <f t="shared" si="3"/>
        <v>8302.6649999999991</v>
      </c>
      <c r="K20" s="527">
        <f t="shared" si="3"/>
        <v>15498.308000000001</v>
      </c>
      <c r="L20" s="527">
        <f t="shared" si="3"/>
        <v>1465.24542</v>
      </c>
      <c r="M20" s="527">
        <f t="shared" si="3"/>
        <v>385.59090000000003</v>
      </c>
      <c r="N20" s="527">
        <f t="shared" si="3"/>
        <v>719.76968000000022</v>
      </c>
      <c r="O20" s="527">
        <f t="shared" si="3"/>
        <v>861.327</v>
      </c>
      <c r="P20" s="527">
        <f t="shared" si="3"/>
        <v>226.66499999999996</v>
      </c>
      <c r="Q20" s="527">
        <f t="shared" si="3"/>
        <v>423.108</v>
      </c>
      <c r="R20" s="527">
        <f t="shared" si="3"/>
        <v>2326.5724199999995</v>
      </c>
      <c r="S20" s="527">
        <f t="shared" si="3"/>
        <v>612.25589999999988</v>
      </c>
      <c r="T20" s="527">
        <f t="shared" si="3"/>
        <v>1142.8776800000003</v>
      </c>
      <c r="U20" s="527">
        <f t="shared" si="3"/>
        <v>33876.699419999997</v>
      </c>
      <c r="V20" s="527">
        <f t="shared" si="3"/>
        <v>8914.9208999999992</v>
      </c>
      <c r="W20" s="527">
        <f t="shared" si="3"/>
        <v>16641.185680000002</v>
      </c>
    </row>
    <row r="21" spans="1:23" s="519" customFormat="1" ht="12.75" customHeight="1" x14ac:dyDescent="0.25">
      <c r="A21" s="1161" t="s">
        <v>235</v>
      </c>
      <c r="B21" s="1161"/>
      <c r="C21" s="609">
        <v>726.84</v>
      </c>
      <c r="D21" s="609">
        <v>484.56</v>
      </c>
      <c r="E21" s="609"/>
      <c r="F21" s="610">
        <v>2968.83</v>
      </c>
      <c r="G21" s="610">
        <v>1979.22</v>
      </c>
      <c r="H21" s="609"/>
      <c r="I21" s="611">
        <v>7487.6260000000002</v>
      </c>
      <c r="J21" s="611">
        <v>4991.75</v>
      </c>
      <c r="K21" s="609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</row>
    <row r="22" spans="1:23" x14ac:dyDescent="0.2">
      <c r="A22" s="167">
        <v>6</v>
      </c>
      <c r="B22" s="168" t="s">
        <v>124</v>
      </c>
      <c r="C22" s="518">
        <f>C9/100*I21</f>
        <v>4267.9468200000001</v>
      </c>
      <c r="D22" s="518">
        <f>D9/100*I21</f>
        <v>1123.1439</v>
      </c>
      <c r="E22" s="518">
        <f>E9/100*I21</f>
        <v>2096.5352800000001</v>
      </c>
      <c r="F22" s="518">
        <f>G9/100*J21</f>
        <v>2845.2974999999997</v>
      </c>
      <c r="G22" s="518">
        <f>H9/100*J21</f>
        <v>748.76249999999993</v>
      </c>
      <c r="H22" s="518">
        <f>I9/100*J21</f>
        <v>1397.69</v>
      </c>
      <c r="I22" s="518">
        <f>C22+F22</f>
        <v>7113.2443199999998</v>
      </c>
      <c r="J22" s="518">
        <f t="shared" ref="J22:K24" si="4">D22+G22</f>
        <v>1871.9063999999998</v>
      </c>
      <c r="K22" s="518">
        <f t="shared" si="4"/>
        <v>3494.2252800000001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f>I22+R22</f>
        <v>7113.2443199999998</v>
      </c>
      <c r="V22" s="518">
        <f t="shared" ref="V22:W24" si="5">J22+S22</f>
        <v>1871.9063999999998</v>
      </c>
      <c r="W22" s="518">
        <f t="shared" si="5"/>
        <v>3494.2252800000001</v>
      </c>
    </row>
    <row r="23" spans="1:23" x14ac:dyDescent="0.2">
      <c r="A23" s="167">
        <v>7</v>
      </c>
      <c r="B23" s="168" t="s">
        <v>999</v>
      </c>
      <c r="C23" s="518">
        <f>C9/100*F21</f>
        <v>1692.2330999999999</v>
      </c>
      <c r="D23" s="518">
        <f>D9/100*F21</f>
        <v>445.3245</v>
      </c>
      <c r="E23" s="518">
        <f>E9/100*F21</f>
        <v>831.27240000000006</v>
      </c>
      <c r="F23" s="518">
        <f>G9/100*G21</f>
        <v>1128.1553999999999</v>
      </c>
      <c r="G23" s="518">
        <f>H9/100*G21</f>
        <v>296.88299999999998</v>
      </c>
      <c r="H23" s="518">
        <f>I9/100*G21</f>
        <v>554.18160000000012</v>
      </c>
      <c r="I23" s="518">
        <f>C23+F23</f>
        <v>2820.3885</v>
      </c>
      <c r="J23" s="518">
        <f t="shared" si="4"/>
        <v>742.20749999999998</v>
      </c>
      <c r="K23" s="518">
        <f t="shared" si="4"/>
        <v>1385.4540000000002</v>
      </c>
      <c r="L23" s="518">
        <v>0</v>
      </c>
      <c r="M23" s="518">
        <v>0</v>
      </c>
      <c r="N23" s="518">
        <v>0</v>
      </c>
      <c r="O23" s="518">
        <v>0</v>
      </c>
      <c r="P23" s="518">
        <v>0</v>
      </c>
      <c r="Q23" s="518">
        <v>0</v>
      </c>
      <c r="R23" s="518">
        <v>0</v>
      </c>
      <c r="S23" s="518">
        <v>0</v>
      </c>
      <c r="T23" s="518">
        <v>0</v>
      </c>
      <c r="U23" s="518">
        <f>I23+R23</f>
        <v>2820.3885</v>
      </c>
      <c r="V23" s="518">
        <f t="shared" si="5"/>
        <v>742.20749999999998</v>
      </c>
      <c r="W23" s="518">
        <f t="shared" si="5"/>
        <v>1385.4540000000002</v>
      </c>
    </row>
    <row r="24" spans="1:23" x14ac:dyDescent="0.2">
      <c r="A24" s="167">
        <v>8</v>
      </c>
      <c r="B24" s="168" t="s">
        <v>832</v>
      </c>
      <c r="C24" s="518">
        <f>C9/100*C21</f>
        <v>414.29879999999997</v>
      </c>
      <c r="D24" s="518">
        <f>15/100*C21</f>
        <v>109.026</v>
      </c>
      <c r="E24" s="518">
        <f>28/100*C21</f>
        <v>203.51520000000002</v>
      </c>
      <c r="F24" s="518">
        <f>G9/100*D21</f>
        <v>276.19919999999996</v>
      </c>
      <c r="G24" s="518">
        <f>H9/100*D21</f>
        <v>72.683999999999997</v>
      </c>
      <c r="H24" s="518">
        <f>I9/100*D21</f>
        <v>135.67680000000001</v>
      </c>
      <c r="I24" s="518">
        <f>C24+F24</f>
        <v>690.49799999999993</v>
      </c>
      <c r="J24" s="518">
        <f t="shared" si="4"/>
        <v>181.70999999999998</v>
      </c>
      <c r="K24" s="518">
        <f t="shared" si="4"/>
        <v>339.19200000000001</v>
      </c>
      <c r="L24" s="518">
        <v>0</v>
      </c>
      <c r="M24" s="518">
        <v>0</v>
      </c>
      <c r="N24" s="518">
        <v>0</v>
      </c>
      <c r="O24" s="518">
        <v>0</v>
      </c>
      <c r="P24" s="518">
        <v>0</v>
      </c>
      <c r="Q24" s="518">
        <v>0</v>
      </c>
      <c r="R24" s="518">
        <v>0</v>
      </c>
      <c r="S24" s="518">
        <v>0</v>
      </c>
      <c r="T24" s="518">
        <v>0</v>
      </c>
      <c r="U24" s="518">
        <f>I24+R24</f>
        <v>690.49799999999993</v>
      </c>
      <c r="V24" s="518">
        <f t="shared" si="5"/>
        <v>181.70999999999998</v>
      </c>
      <c r="W24" s="518">
        <f t="shared" si="5"/>
        <v>339.19200000000001</v>
      </c>
    </row>
    <row r="25" spans="1:23" s="166" customFormat="1" x14ac:dyDescent="0.2">
      <c r="A25" s="1163" t="s">
        <v>15</v>
      </c>
      <c r="B25" s="1163"/>
      <c r="C25" s="527">
        <f>SUM(C22:C24)</f>
        <v>6374.4787200000001</v>
      </c>
      <c r="D25" s="527">
        <f t="shared" ref="D25:W25" si="6">SUM(D22:D24)</f>
        <v>1677.4944</v>
      </c>
      <c r="E25" s="527">
        <f t="shared" si="6"/>
        <v>3131.3228799999997</v>
      </c>
      <c r="F25" s="527">
        <f t="shared" si="6"/>
        <v>4249.6520999999993</v>
      </c>
      <c r="G25" s="527">
        <f t="shared" si="6"/>
        <v>1118.3294999999998</v>
      </c>
      <c r="H25" s="527">
        <f t="shared" si="6"/>
        <v>2087.5484000000001</v>
      </c>
      <c r="I25" s="527">
        <f t="shared" si="6"/>
        <v>10624.130819999998</v>
      </c>
      <c r="J25" s="527">
        <f t="shared" si="6"/>
        <v>2795.8238999999999</v>
      </c>
      <c r="K25" s="527">
        <f t="shared" si="6"/>
        <v>5218.8712800000003</v>
      </c>
      <c r="L25" s="527">
        <f t="shared" si="6"/>
        <v>0</v>
      </c>
      <c r="M25" s="527">
        <f t="shared" si="6"/>
        <v>0</v>
      </c>
      <c r="N25" s="527">
        <f t="shared" si="6"/>
        <v>0</v>
      </c>
      <c r="O25" s="527">
        <f t="shared" si="6"/>
        <v>0</v>
      </c>
      <c r="P25" s="527">
        <f t="shared" si="6"/>
        <v>0</v>
      </c>
      <c r="Q25" s="527">
        <f t="shared" si="6"/>
        <v>0</v>
      </c>
      <c r="R25" s="527">
        <f t="shared" si="6"/>
        <v>0</v>
      </c>
      <c r="S25" s="527">
        <f t="shared" si="6"/>
        <v>0</v>
      </c>
      <c r="T25" s="527">
        <f t="shared" si="6"/>
        <v>0</v>
      </c>
      <c r="U25" s="527">
        <f t="shared" si="6"/>
        <v>10624.130819999998</v>
      </c>
      <c r="V25" s="527">
        <f t="shared" si="6"/>
        <v>2795.8238999999999</v>
      </c>
      <c r="W25" s="527">
        <f t="shared" si="6"/>
        <v>5218.8712800000003</v>
      </c>
    </row>
    <row r="26" spans="1:23" x14ac:dyDescent="0.2">
      <c r="A26" s="282">
        <v>9</v>
      </c>
      <c r="B26" s="168" t="s">
        <v>850</v>
      </c>
      <c r="C26" s="518">
        <f>57/100*B31</f>
        <v>1017.9390599999999</v>
      </c>
      <c r="D26" s="518">
        <f>15/100*B31</f>
        <v>267.87869999999998</v>
      </c>
      <c r="E26" s="518">
        <f>28/100*B31</f>
        <v>500.04024000000004</v>
      </c>
      <c r="F26" s="518">
        <f>57/100*B32</f>
        <v>678.62603999999988</v>
      </c>
      <c r="G26" s="518">
        <f>15/100*B32</f>
        <v>178.58579999999998</v>
      </c>
      <c r="H26" s="518">
        <f>28/100*B32</f>
        <v>333.36016000000001</v>
      </c>
      <c r="I26" s="518">
        <f>C26+F26</f>
        <v>1696.5650999999998</v>
      </c>
      <c r="J26" s="518">
        <f>D26+G26</f>
        <v>446.46449999999993</v>
      </c>
      <c r="K26" s="518">
        <f>E26+H26</f>
        <v>833.40039999999999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f>I26</f>
        <v>1696.5650999999998</v>
      </c>
      <c r="V26" s="518">
        <f>J26</f>
        <v>446.46449999999993</v>
      </c>
      <c r="W26" s="518">
        <f>K26</f>
        <v>833.40039999999999</v>
      </c>
    </row>
    <row r="27" spans="1:23" s="166" customFormat="1" x14ac:dyDescent="0.2">
      <c r="A27" s="1163" t="s">
        <v>15</v>
      </c>
      <c r="B27" s="1163"/>
      <c r="C27" s="527">
        <f>C20+C25+C26</f>
        <v>27271.190579999999</v>
      </c>
      <c r="D27" s="527">
        <f t="shared" ref="D27:W27" si="7">D20+D25+D26</f>
        <v>7176.629100000001</v>
      </c>
      <c r="E27" s="527">
        <f t="shared" si="7"/>
        <v>13396.374320000001</v>
      </c>
      <c r="F27" s="527">
        <f t="shared" si="7"/>
        <v>16599.632339999996</v>
      </c>
      <c r="G27" s="527">
        <f t="shared" si="7"/>
        <v>4368.3242999999993</v>
      </c>
      <c r="H27" s="527">
        <f t="shared" si="7"/>
        <v>8154.2053599999999</v>
      </c>
      <c r="I27" s="527">
        <f t="shared" si="7"/>
        <v>43870.822919999991</v>
      </c>
      <c r="J27" s="527">
        <f t="shared" si="7"/>
        <v>11544.953399999999</v>
      </c>
      <c r="K27" s="527">
        <f t="shared" si="7"/>
        <v>21550.579679999999</v>
      </c>
      <c r="L27" s="527">
        <f t="shared" si="7"/>
        <v>1465.24542</v>
      </c>
      <c r="M27" s="527">
        <f t="shared" si="7"/>
        <v>385.59090000000003</v>
      </c>
      <c r="N27" s="527">
        <f t="shared" si="7"/>
        <v>719.76968000000022</v>
      </c>
      <c r="O27" s="527">
        <f t="shared" si="7"/>
        <v>861.327</v>
      </c>
      <c r="P27" s="527">
        <f t="shared" si="7"/>
        <v>226.66499999999996</v>
      </c>
      <c r="Q27" s="527">
        <f t="shared" si="7"/>
        <v>423.108</v>
      </c>
      <c r="R27" s="527">
        <f t="shared" si="7"/>
        <v>2326.5724199999995</v>
      </c>
      <c r="S27" s="527">
        <f t="shared" si="7"/>
        <v>612.25589999999988</v>
      </c>
      <c r="T27" s="527">
        <f t="shared" si="7"/>
        <v>1142.8776800000003</v>
      </c>
      <c r="U27" s="527">
        <f t="shared" si="7"/>
        <v>46197.395339999995</v>
      </c>
      <c r="V27" s="527">
        <f t="shared" si="7"/>
        <v>12157.209299999999</v>
      </c>
      <c r="W27" s="527">
        <f t="shared" si="7"/>
        <v>22693.45736</v>
      </c>
    </row>
    <row r="28" spans="1:23" x14ac:dyDescent="0.2">
      <c r="A28" s="170"/>
      <c r="B28" s="170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</row>
    <row r="29" spans="1:23" x14ac:dyDescent="0.2">
      <c r="A29" s="613"/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</row>
    <row r="30" spans="1:23" x14ac:dyDescent="0.2">
      <c r="A30" s="613"/>
      <c r="B30" s="613"/>
      <c r="C30" s="614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</row>
    <row r="31" spans="1:23" x14ac:dyDescent="0.2">
      <c r="A31" s="613"/>
      <c r="B31" s="642">
        <v>1785.8579999999999</v>
      </c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</row>
    <row r="32" spans="1:23" x14ac:dyDescent="0.2">
      <c r="A32" s="615"/>
      <c r="B32" s="643">
        <v>1190.5719999999999</v>
      </c>
      <c r="C32" s="615"/>
      <c r="D32" s="615"/>
      <c r="E32" s="615"/>
      <c r="F32" s="615"/>
      <c r="G32" s="615"/>
      <c r="H32" s="615"/>
      <c r="I32" s="615"/>
      <c r="J32" s="616"/>
      <c r="K32" s="616"/>
      <c r="L32" s="616"/>
      <c r="M32" s="616"/>
      <c r="N32" s="616"/>
      <c r="O32" s="615"/>
      <c r="P32" s="615"/>
      <c r="Q32" s="615"/>
      <c r="R32" s="615"/>
      <c r="S32" s="615"/>
      <c r="T32" s="615"/>
      <c r="U32" s="615"/>
      <c r="V32" s="613"/>
      <c r="W32" s="613"/>
    </row>
    <row r="33" spans="1:23" x14ac:dyDescent="0.2">
      <c r="A33" s="613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</row>
    <row r="34" spans="1:23" ht="15.75" customHeight="1" x14ac:dyDescent="0.25">
      <c r="A34" s="931" t="s">
        <v>11</v>
      </c>
      <c r="B34" s="931"/>
      <c r="C34" s="672"/>
      <c r="D34" s="670"/>
      <c r="E34" s="670"/>
      <c r="F34" s="671"/>
      <c r="G34" s="671"/>
      <c r="H34" s="704"/>
      <c r="I34" s="704"/>
      <c r="J34" s="705"/>
      <c r="K34" s="757" t="s">
        <v>1107</v>
      </c>
      <c r="L34" s="757"/>
      <c r="M34" s="567"/>
      <c r="Q34" s="15"/>
      <c r="U34" s="567"/>
      <c r="V34" s="567"/>
      <c r="W34" s="567"/>
    </row>
    <row r="35" spans="1:23" ht="15.75" customHeight="1" x14ac:dyDescent="0.2">
      <c r="A35" s="671"/>
      <c r="B35" s="671"/>
      <c r="C35" s="671"/>
      <c r="D35" s="671"/>
      <c r="E35" s="671"/>
      <c r="F35" s="671"/>
      <c r="G35" s="671"/>
      <c r="H35" s="671"/>
      <c r="I35" s="671"/>
      <c r="J35" s="679" t="s">
        <v>1108</v>
      </c>
      <c r="K35" s="679"/>
      <c r="L35" s="679"/>
      <c r="M35" s="567"/>
      <c r="Q35" s="15"/>
      <c r="U35" s="567"/>
      <c r="V35" s="567"/>
      <c r="W35" s="567"/>
    </row>
    <row r="36" spans="1:23" ht="15.75" customHeight="1" x14ac:dyDescent="0.2">
      <c r="A36" s="671"/>
      <c r="B36" s="671"/>
      <c r="C36" s="671"/>
      <c r="D36" s="671"/>
      <c r="E36" s="671"/>
      <c r="F36" s="671"/>
      <c r="G36" s="671"/>
      <c r="H36" s="671"/>
      <c r="I36" s="671"/>
      <c r="J36" s="679" t="s">
        <v>1113</v>
      </c>
      <c r="K36" s="679"/>
      <c r="L36" s="679"/>
      <c r="M36" s="567"/>
      <c r="Q36" s="66"/>
      <c r="U36" s="567"/>
      <c r="V36" s="567"/>
      <c r="W36" s="567"/>
    </row>
    <row r="37" spans="1:23" x14ac:dyDescent="0.2">
      <c r="A37" s="613"/>
      <c r="B37" s="670"/>
      <c r="C37" s="670"/>
      <c r="D37" s="670"/>
      <c r="E37" s="670"/>
      <c r="F37" s="671"/>
      <c r="G37" s="671"/>
      <c r="H37" s="671"/>
      <c r="I37" s="671"/>
      <c r="J37" s="756" t="s">
        <v>1110</v>
      </c>
      <c r="K37" s="756"/>
      <c r="L37" s="756"/>
      <c r="M37" s="613"/>
      <c r="N37" s="613"/>
      <c r="O37" s="613"/>
      <c r="P37" s="613"/>
      <c r="Q37" s="613"/>
      <c r="R37" s="617"/>
      <c r="S37" s="617"/>
      <c r="T37" s="617"/>
      <c r="U37" s="617"/>
      <c r="V37" s="617"/>
      <c r="W37" s="617"/>
    </row>
  </sheetData>
  <mergeCells count="24">
    <mergeCell ref="J37:L37"/>
    <mergeCell ref="K34:L34"/>
    <mergeCell ref="A34:B34"/>
    <mergeCell ref="V9:W9"/>
    <mergeCell ref="A10:A11"/>
    <mergeCell ref="B10:B11"/>
    <mergeCell ref="C10:K10"/>
    <mergeCell ref="L10:T10"/>
    <mergeCell ref="U10:W11"/>
    <mergeCell ref="F11:H11"/>
    <mergeCell ref="I11:K11"/>
    <mergeCell ref="L11:N11"/>
    <mergeCell ref="O11:Q11"/>
    <mergeCell ref="R11:T11"/>
    <mergeCell ref="O1:U1"/>
    <mergeCell ref="B4:U4"/>
    <mergeCell ref="B6:U6"/>
    <mergeCell ref="A8:B8"/>
    <mergeCell ref="A14:B14"/>
    <mergeCell ref="C11:E11"/>
    <mergeCell ref="A20:B20"/>
    <mergeCell ref="A21:B21"/>
    <mergeCell ref="A25:B25"/>
    <mergeCell ref="A27:B27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  <colBreaks count="1" manualBreakCount="1">
    <brk id="23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13" zoomScaleNormal="100" zoomScaleSheetLayoutView="100" workbookViewId="0">
      <selection activeCell="A40" sqref="A40:L43"/>
    </sheetView>
  </sheetViews>
  <sheetFormatPr defaultRowHeight="12.75" x14ac:dyDescent="0.2"/>
  <cols>
    <col min="1" max="1" width="7.42578125" style="158" customWidth="1"/>
    <col min="2" max="2" width="17.140625" style="158" customWidth="1"/>
    <col min="3" max="3" width="11" style="158" customWidth="1"/>
    <col min="4" max="4" width="10" style="158" customWidth="1"/>
    <col min="5" max="5" width="11.85546875" style="158" customWidth="1"/>
    <col min="6" max="6" width="12.140625" style="158" customWidth="1"/>
    <col min="7" max="7" width="13.28515625" style="158" customWidth="1"/>
    <col min="8" max="8" width="14.5703125" style="158" customWidth="1"/>
    <col min="9" max="9" width="12.7109375" style="158" customWidth="1"/>
    <col min="10" max="10" width="14" style="158" customWidth="1"/>
    <col min="11" max="11" width="10.85546875" style="158" customWidth="1"/>
    <col min="12" max="12" width="11.5703125" style="158" customWidth="1"/>
    <col min="13" max="16384" width="9.140625" style="158"/>
  </cols>
  <sheetData>
    <row r="1" spans="1:16" s="80" customFormat="1" x14ac:dyDescent="0.2">
      <c r="E1" s="1181"/>
      <c r="F1" s="1181"/>
      <c r="G1" s="1181"/>
      <c r="H1" s="1181"/>
      <c r="I1" s="1181"/>
      <c r="J1" s="269" t="s">
        <v>667</v>
      </c>
    </row>
    <row r="2" spans="1:16" s="80" customFormat="1" ht="15" x14ac:dyDescent="0.2">
      <c r="A2" s="1182" t="s">
        <v>0</v>
      </c>
      <c r="B2" s="1182"/>
      <c r="C2" s="1182"/>
      <c r="D2" s="1182"/>
      <c r="E2" s="1182"/>
      <c r="F2" s="1182"/>
      <c r="G2" s="1182"/>
      <c r="H2" s="1182"/>
      <c r="I2" s="1182"/>
      <c r="J2" s="1182"/>
    </row>
    <row r="3" spans="1:16" s="80" customFormat="1" ht="20.25" x14ac:dyDescent="0.3">
      <c r="A3" s="844" t="s">
        <v>694</v>
      </c>
      <c r="B3" s="844"/>
      <c r="C3" s="844"/>
      <c r="D3" s="844"/>
      <c r="E3" s="844"/>
      <c r="F3" s="844"/>
      <c r="G3" s="844"/>
      <c r="H3" s="844"/>
      <c r="I3" s="844"/>
      <c r="J3" s="844"/>
    </row>
    <row r="4" spans="1:16" s="80" customFormat="1" ht="14.25" customHeight="1" x14ac:dyDescent="0.2"/>
    <row r="5" spans="1:16" ht="19.5" customHeight="1" x14ac:dyDescent="0.25">
      <c r="A5" s="1183" t="s">
        <v>767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</row>
    <row r="6" spans="1:16" ht="13.5" customHeight="1" x14ac:dyDescent="0.2">
      <c r="A6" s="270"/>
      <c r="B6" s="270"/>
      <c r="C6" s="270"/>
      <c r="D6" s="270"/>
      <c r="E6" s="270"/>
      <c r="F6" s="270"/>
      <c r="G6" s="270"/>
      <c r="H6" s="270"/>
      <c r="I6" s="270"/>
      <c r="J6" s="270"/>
    </row>
    <row r="7" spans="1:16" x14ac:dyDescent="0.2">
      <c r="A7" s="33" t="s">
        <v>1098</v>
      </c>
    </row>
    <row r="8" spans="1:16" x14ac:dyDescent="0.2">
      <c r="A8" s="599"/>
      <c r="B8" s="599"/>
      <c r="C8" s="271"/>
      <c r="H8" s="1184" t="s">
        <v>770</v>
      </c>
      <c r="I8" s="1184"/>
      <c r="J8" s="1184"/>
      <c r="K8" s="1184"/>
      <c r="L8" s="1184"/>
    </row>
    <row r="9" spans="1:16" ht="18" customHeight="1" x14ac:dyDescent="0.2">
      <c r="A9" s="1025" t="s">
        <v>1</v>
      </c>
      <c r="B9" s="1025" t="s">
        <v>33</v>
      </c>
      <c r="C9" s="1170" t="s">
        <v>668</v>
      </c>
      <c r="D9" s="1170"/>
      <c r="E9" s="1170" t="s">
        <v>120</v>
      </c>
      <c r="F9" s="1170"/>
      <c r="G9" s="1170" t="s">
        <v>669</v>
      </c>
      <c r="H9" s="1170"/>
      <c r="I9" s="1170" t="s">
        <v>121</v>
      </c>
      <c r="J9" s="1170"/>
      <c r="K9" s="1170" t="s">
        <v>122</v>
      </c>
      <c r="L9" s="1170"/>
      <c r="O9" s="272"/>
      <c r="P9" s="273"/>
    </row>
    <row r="10" spans="1:16" ht="44.25" customHeight="1" x14ac:dyDescent="0.2">
      <c r="A10" s="1025"/>
      <c r="B10" s="1025"/>
      <c r="C10" s="84" t="s">
        <v>670</v>
      </c>
      <c r="D10" s="84" t="s">
        <v>671</v>
      </c>
      <c r="E10" s="84" t="s">
        <v>672</v>
      </c>
      <c r="F10" s="84" t="s">
        <v>673</v>
      </c>
      <c r="G10" s="84" t="s">
        <v>672</v>
      </c>
      <c r="H10" s="84" t="s">
        <v>673</v>
      </c>
      <c r="I10" s="84" t="s">
        <v>670</v>
      </c>
      <c r="J10" s="84" t="s">
        <v>671</v>
      </c>
      <c r="K10" s="84" t="s">
        <v>670</v>
      </c>
      <c r="L10" s="84" t="s">
        <v>671</v>
      </c>
    </row>
    <row r="11" spans="1:16" x14ac:dyDescent="0.2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</row>
    <row r="12" spans="1:16" x14ac:dyDescent="0.2">
      <c r="A12" s="274">
        <v>1</v>
      </c>
      <c r="B12" s="351" t="s">
        <v>875</v>
      </c>
      <c r="C12" s="1171" t="s">
        <v>980</v>
      </c>
      <c r="D12" s="1172"/>
      <c r="E12" s="1172"/>
      <c r="F12" s="1172"/>
      <c r="G12" s="1172"/>
      <c r="H12" s="1172"/>
      <c r="I12" s="1172"/>
      <c r="J12" s="1172"/>
      <c r="K12" s="1172"/>
      <c r="L12" s="1173"/>
    </row>
    <row r="13" spans="1:16" x14ac:dyDescent="0.2">
      <c r="A13" s="274">
        <v>2</v>
      </c>
      <c r="B13" s="351" t="s">
        <v>876</v>
      </c>
      <c r="C13" s="1174"/>
      <c r="D13" s="1175"/>
      <c r="E13" s="1175"/>
      <c r="F13" s="1175"/>
      <c r="G13" s="1175"/>
      <c r="H13" s="1175"/>
      <c r="I13" s="1175"/>
      <c r="J13" s="1175"/>
      <c r="K13" s="1175"/>
      <c r="L13" s="1176"/>
    </row>
    <row r="14" spans="1:16" x14ac:dyDescent="0.2">
      <c r="A14" s="274">
        <v>3</v>
      </c>
      <c r="B14" s="351" t="s">
        <v>877</v>
      </c>
      <c r="C14" s="1174"/>
      <c r="D14" s="1175"/>
      <c r="E14" s="1175"/>
      <c r="F14" s="1175"/>
      <c r="G14" s="1175"/>
      <c r="H14" s="1175"/>
      <c r="I14" s="1175"/>
      <c r="J14" s="1175"/>
      <c r="K14" s="1175"/>
      <c r="L14" s="1176"/>
    </row>
    <row r="15" spans="1:16" x14ac:dyDescent="0.2">
      <c r="A15" s="274">
        <v>4</v>
      </c>
      <c r="B15" s="351" t="s">
        <v>878</v>
      </c>
      <c r="C15" s="1174"/>
      <c r="D15" s="1175"/>
      <c r="E15" s="1175"/>
      <c r="F15" s="1175"/>
      <c r="G15" s="1175"/>
      <c r="H15" s="1175"/>
      <c r="I15" s="1175"/>
      <c r="J15" s="1175"/>
      <c r="K15" s="1175"/>
      <c r="L15" s="1176"/>
    </row>
    <row r="16" spans="1:16" x14ac:dyDescent="0.2">
      <c r="A16" s="274">
        <v>5</v>
      </c>
      <c r="B16" s="351" t="s">
        <v>879</v>
      </c>
      <c r="C16" s="1174"/>
      <c r="D16" s="1175"/>
      <c r="E16" s="1175"/>
      <c r="F16" s="1175"/>
      <c r="G16" s="1175"/>
      <c r="H16" s="1175"/>
      <c r="I16" s="1175"/>
      <c r="J16" s="1175"/>
      <c r="K16" s="1175"/>
      <c r="L16" s="1176"/>
    </row>
    <row r="17" spans="1:12" x14ac:dyDescent="0.2">
      <c r="A17" s="274">
        <v>6</v>
      </c>
      <c r="B17" s="351" t="s">
        <v>880</v>
      </c>
      <c r="C17" s="1174"/>
      <c r="D17" s="1175"/>
      <c r="E17" s="1175"/>
      <c r="F17" s="1175"/>
      <c r="G17" s="1175"/>
      <c r="H17" s="1175"/>
      <c r="I17" s="1175"/>
      <c r="J17" s="1175"/>
      <c r="K17" s="1175"/>
      <c r="L17" s="1176"/>
    </row>
    <row r="18" spans="1:12" x14ac:dyDescent="0.2">
      <c r="A18" s="274">
        <v>7</v>
      </c>
      <c r="B18" s="351" t="s">
        <v>923</v>
      </c>
      <c r="C18" s="1174"/>
      <c r="D18" s="1175"/>
      <c r="E18" s="1175"/>
      <c r="F18" s="1175"/>
      <c r="G18" s="1175"/>
      <c r="H18" s="1175"/>
      <c r="I18" s="1175"/>
      <c r="J18" s="1175"/>
      <c r="K18" s="1175"/>
      <c r="L18" s="1176"/>
    </row>
    <row r="19" spans="1:12" x14ac:dyDescent="0.2">
      <c r="A19" s="274">
        <v>8</v>
      </c>
      <c r="B19" s="351" t="s">
        <v>882</v>
      </c>
      <c r="C19" s="1174"/>
      <c r="D19" s="1175"/>
      <c r="E19" s="1175"/>
      <c r="F19" s="1175"/>
      <c r="G19" s="1175"/>
      <c r="H19" s="1175"/>
      <c r="I19" s="1175"/>
      <c r="J19" s="1175"/>
      <c r="K19" s="1175"/>
      <c r="L19" s="1176"/>
    </row>
    <row r="20" spans="1:12" x14ac:dyDescent="0.2">
      <c r="A20" s="274">
        <v>9</v>
      </c>
      <c r="B20" s="351" t="s">
        <v>883</v>
      </c>
      <c r="C20" s="1174"/>
      <c r="D20" s="1175"/>
      <c r="E20" s="1175"/>
      <c r="F20" s="1175"/>
      <c r="G20" s="1175"/>
      <c r="H20" s="1175"/>
      <c r="I20" s="1175"/>
      <c r="J20" s="1175"/>
      <c r="K20" s="1175"/>
      <c r="L20" s="1176"/>
    </row>
    <row r="21" spans="1:12" x14ac:dyDescent="0.2">
      <c r="A21" s="274">
        <v>10</v>
      </c>
      <c r="B21" s="351" t="s">
        <v>884</v>
      </c>
      <c r="C21" s="1174"/>
      <c r="D21" s="1175"/>
      <c r="E21" s="1175"/>
      <c r="F21" s="1175"/>
      <c r="G21" s="1175"/>
      <c r="H21" s="1175"/>
      <c r="I21" s="1175"/>
      <c r="J21" s="1175"/>
      <c r="K21" s="1175"/>
      <c r="L21" s="1176"/>
    </row>
    <row r="22" spans="1:12" x14ac:dyDescent="0.2">
      <c r="A22" s="274">
        <v>11</v>
      </c>
      <c r="B22" s="351" t="s">
        <v>885</v>
      </c>
      <c r="C22" s="1174"/>
      <c r="D22" s="1175"/>
      <c r="E22" s="1175"/>
      <c r="F22" s="1175"/>
      <c r="G22" s="1175"/>
      <c r="H22" s="1175"/>
      <c r="I22" s="1175"/>
      <c r="J22" s="1175"/>
      <c r="K22" s="1175"/>
      <c r="L22" s="1176"/>
    </row>
    <row r="23" spans="1:12" x14ac:dyDescent="0.2">
      <c r="A23" s="274">
        <v>12</v>
      </c>
      <c r="B23" s="351" t="s">
        <v>886</v>
      </c>
      <c r="C23" s="1174"/>
      <c r="D23" s="1175"/>
      <c r="E23" s="1175"/>
      <c r="F23" s="1175"/>
      <c r="G23" s="1175"/>
      <c r="H23" s="1175"/>
      <c r="I23" s="1175"/>
      <c r="J23" s="1175"/>
      <c r="K23" s="1175"/>
      <c r="L23" s="1176"/>
    </row>
    <row r="24" spans="1:12" x14ac:dyDescent="0.2">
      <c r="A24" s="274">
        <v>13</v>
      </c>
      <c r="B24" s="351" t="s">
        <v>887</v>
      </c>
      <c r="C24" s="1174"/>
      <c r="D24" s="1175"/>
      <c r="E24" s="1175"/>
      <c r="F24" s="1175"/>
      <c r="G24" s="1175"/>
      <c r="H24" s="1175"/>
      <c r="I24" s="1175"/>
      <c r="J24" s="1175"/>
      <c r="K24" s="1175"/>
      <c r="L24" s="1176"/>
    </row>
    <row r="25" spans="1:12" x14ac:dyDescent="0.2">
      <c r="A25" s="274">
        <v>14</v>
      </c>
      <c r="B25" s="351" t="s">
        <v>888</v>
      </c>
      <c r="C25" s="1174"/>
      <c r="D25" s="1175"/>
      <c r="E25" s="1175"/>
      <c r="F25" s="1175"/>
      <c r="G25" s="1175"/>
      <c r="H25" s="1175"/>
      <c r="I25" s="1175"/>
      <c r="J25" s="1175"/>
      <c r="K25" s="1175"/>
      <c r="L25" s="1176"/>
    </row>
    <row r="26" spans="1:12" x14ac:dyDescent="0.2">
      <c r="A26" s="274">
        <v>15</v>
      </c>
      <c r="B26" s="351" t="s">
        <v>924</v>
      </c>
      <c r="C26" s="1174"/>
      <c r="D26" s="1175"/>
      <c r="E26" s="1175"/>
      <c r="F26" s="1175"/>
      <c r="G26" s="1175"/>
      <c r="H26" s="1175"/>
      <c r="I26" s="1175"/>
      <c r="J26" s="1175"/>
      <c r="K26" s="1175"/>
      <c r="L26" s="1176"/>
    </row>
    <row r="27" spans="1:12" x14ac:dyDescent="0.2">
      <c r="A27" s="274">
        <v>16</v>
      </c>
      <c r="B27" s="351" t="s">
        <v>890</v>
      </c>
      <c r="C27" s="1174"/>
      <c r="D27" s="1175"/>
      <c r="E27" s="1175"/>
      <c r="F27" s="1175"/>
      <c r="G27" s="1175"/>
      <c r="H27" s="1175"/>
      <c r="I27" s="1175"/>
      <c r="J27" s="1175"/>
      <c r="K27" s="1175"/>
      <c r="L27" s="1176"/>
    </row>
    <row r="28" spans="1:12" x14ac:dyDescent="0.2">
      <c r="A28" s="274">
        <v>17</v>
      </c>
      <c r="B28" s="351" t="s">
        <v>891</v>
      </c>
      <c r="C28" s="1174"/>
      <c r="D28" s="1175"/>
      <c r="E28" s="1175"/>
      <c r="F28" s="1175"/>
      <c r="G28" s="1175"/>
      <c r="H28" s="1175"/>
      <c r="I28" s="1175"/>
      <c r="J28" s="1175"/>
      <c r="K28" s="1175"/>
      <c r="L28" s="1176"/>
    </row>
    <row r="29" spans="1:12" x14ac:dyDescent="0.2">
      <c r="A29" s="274">
        <v>18</v>
      </c>
      <c r="B29" s="351" t="s">
        <v>892</v>
      </c>
      <c r="C29" s="1174"/>
      <c r="D29" s="1175"/>
      <c r="E29" s="1175"/>
      <c r="F29" s="1175"/>
      <c r="G29" s="1175"/>
      <c r="H29" s="1175"/>
      <c r="I29" s="1175"/>
      <c r="J29" s="1175"/>
      <c r="K29" s="1175"/>
      <c r="L29" s="1176"/>
    </row>
    <row r="30" spans="1:12" x14ac:dyDescent="0.2">
      <c r="A30" s="274">
        <v>19</v>
      </c>
      <c r="B30" s="351" t="s">
        <v>893</v>
      </c>
      <c r="C30" s="1174"/>
      <c r="D30" s="1175"/>
      <c r="E30" s="1175"/>
      <c r="F30" s="1175"/>
      <c r="G30" s="1175"/>
      <c r="H30" s="1175"/>
      <c r="I30" s="1175"/>
      <c r="J30" s="1175"/>
      <c r="K30" s="1175"/>
      <c r="L30" s="1176"/>
    </row>
    <row r="31" spans="1:12" x14ac:dyDescent="0.2">
      <c r="A31" s="274">
        <v>20</v>
      </c>
      <c r="B31" s="351" t="s">
        <v>894</v>
      </c>
      <c r="C31" s="1174"/>
      <c r="D31" s="1175"/>
      <c r="E31" s="1175"/>
      <c r="F31" s="1175"/>
      <c r="G31" s="1175"/>
      <c r="H31" s="1175"/>
      <c r="I31" s="1175"/>
      <c r="J31" s="1175"/>
      <c r="K31" s="1175"/>
      <c r="L31" s="1176"/>
    </row>
    <row r="32" spans="1:12" x14ac:dyDescent="0.2">
      <c r="A32" s="274">
        <v>21</v>
      </c>
      <c r="B32" s="351" t="s">
        <v>925</v>
      </c>
      <c r="C32" s="1174"/>
      <c r="D32" s="1175"/>
      <c r="E32" s="1175"/>
      <c r="F32" s="1175"/>
      <c r="G32" s="1175"/>
      <c r="H32" s="1175"/>
      <c r="I32" s="1175"/>
      <c r="J32" s="1175"/>
      <c r="K32" s="1175"/>
      <c r="L32" s="1176"/>
    </row>
    <row r="33" spans="1:17" x14ac:dyDescent="0.2">
      <c r="A33" s="274">
        <v>22</v>
      </c>
      <c r="B33" s="351" t="s">
        <v>896</v>
      </c>
      <c r="C33" s="1174"/>
      <c r="D33" s="1175"/>
      <c r="E33" s="1175"/>
      <c r="F33" s="1175"/>
      <c r="G33" s="1175"/>
      <c r="H33" s="1175"/>
      <c r="I33" s="1175"/>
      <c r="J33" s="1175"/>
      <c r="K33" s="1175"/>
      <c r="L33" s="1176"/>
    </row>
    <row r="34" spans="1:17" x14ac:dyDescent="0.2">
      <c r="A34" s="274">
        <v>23</v>
      </c>
      <c r="B34" s="351" t="s">
        <v>926</v>
      </c>
      <c r="C34" s="1174"/>
      <c r="D34" s="1175"/>
      <c r="E34" s="1175"/>
      <c r="F34" s="1175"/>
      <c r="G34" s="1175"/>
      <c r="H34" s="1175"/>
      <c r="I34" s="1175"/>
      <c r="J34" s="1175"/>
      <c r="K34" s="1175"/>
      <c r="L34" s="1176"/>
    </row>
    <row r="35" spans="1:17" x14ac:dyDescent="0.2">
      <c r="A35" s="274">
        <v>24</v>
      </c>
      <c r="B35" s="351" t="s">
        <v>898</v>
      </c>
      <c r="C35" s="1174"/>
      <c r="D35" s="1175"/>
      <c r="E35" s="1175"/>
      <c r="F35" s="1175"/>
      <c r="G35" s="1175"/>
      <c r="H35" s="1175"/>
      <c r="I35" s="1175"/>
      <c r="J35" s="1175"/>
      <c r="K35" s="1175"/>
      <c r="L35" s="1176"/>
    </row>
    <row r="36" spans="1:17" x14ac:dyDescent="0.2">
      <c r="A36" s="1023" t="s">
        <v>15</v>
      </c>
      <c r="B36" s="1024"/>
      <c r="C36" s="1177"/>
      <c r="D36" s="1178"/>
      <c r="E36" s="1178"/>
      <c r="F36" s="1178"/>
      <c r="G36" s="1178"/>
      <c r="H36" s="1178"/>
      <c r="I36" s="1178"/>
      <c r="J36" s="1178"/>
      <c r="K36" s="1178"/>
      <c r="L36" s="1179"/>
    </row>
    <row r="37" spans="1:17" x14ac:dyDescent="0.2">
      <c r="A37" s="90"/>
      <c r="B37" s="114"/>
      <c r="C37" s="114"/>
      <c r="D37" s="273"/>
      <c r="E37" s="273"/>
      <c r="F37" s="273"/>
      <c r="G37" s="273"/>
      <c r="H37" s="273"/>
      <c r="I37" s="273"/>
      <c r="J37" s="273"/>
    </row>
    <row r="38" spans="1:17" x14ac:dyDescent="0.2">
      <c r="A38" s="90"/>
      <c r="B38" s="114"/>
      <c r="C38" s="114"/>
      <c r="D38" s="273"/>
      <c r="E38" s="273"/>
      <c r="F38" s="273"/>
      <c r="G38" s="273"/>
      <c r="H38" s="273"/>
      <c r="I38" s="273"/>
      <c r="J38" s="273"/>
    </row>
    <row r="39" spans="1:17" x14ac:dyDescent="0.2">
      <c r="A39" s="90"/>
      <c r="B39" s="114"/>
      <c r="C39" s="114"/>
      <c r="D39" s="273"/>
      <c r="E39" s="273"/>
      <c r="F39" s="273"/>
      <c r="G39" s="273"/>
      <c r="H39" s="273"/>
      <c r="I39" s="273"/>
      <c r="J39" s="273"/>
    </row>
    <row r="40" spans="1:17" ht="15" x14ac:dyDescent="0.25">
      <c r="A40" s="931" t="s">
        <v>11</v>
      </c>
      <c r="B40" s="931"/>
      <c r="C40" s="672"/>
      <c r="D40" s="670"/>
      <c r="E40" s="670"/>
      <c r="F40" s="671"/>
      <c r="G40" s="671"/>
      <c r="H40" s="704"/>
      <c r="I40" s="704"/>
      <c r="J40" s="706"/>
      <c r="K40" s="757" t="s">
        <v>1107</v>
      </c>
      <c r="L40" s="757"/>
    </row>
    <row r="41" spans="1:17" x14ac:dyDescent="0.2">
      <c r="A41" s="671"/>
      <c r="B41" s="671"/>
      <c r="C41" s="671"/>
      <c r="D41" s="671"/>
      <c r="E41" s="671"/>
      <c r="F41" s="671"/>
      <c r="G41" s="671"/>
      <c r="H41" s="671"/>
      <c r="I41" s="671"/>
      <c r="J41" s="679" t="s">
        <v>1108</v>
      </c>
      <c r="K41" s="679"/>
      <c r="L41" s="679"/>
      <c r="M41" s="685"/>
      <c r="N41" s="591"/>
      <c r="O41" s="591"/>
      <c r="P41" s="591"/>
      <c r="Q41" s="591"/>
    </row>
    <row r="42" spans="1:17" x14ac:dyDescent="0.2">
      <c r="A42" s="671"/>
      <c r="B42" s="671"/>
      <c r="C42" s="671"/>
      <c r="D42" s="671"/>
      <c r="E42" s="671"/>
      <c r="F42" s="671"/>
      <c r="G42" s="671"/>
      <c r="H42" s="671"/>
      <c r="I42" s="671"/>
      <c r="J42" s="679" t="s">
        <v>1113</v>
      </c>
      <c r="K42" s="679"/>
      <c r="L42" s="679"/>
      <c r="M42" s="165"/>
      <c r="N42" s="165"/>
      <c r="O42" s="165"/>
      <c r="P42" s="165"/>
      <c r="Q42" s="165"/>
    </row>
    <row r="43" spans="1:17" ht="15.75" x14ac:dyDescent="0.25">
      <c r="A43" s="567"/>
      <c r="B43" s="670"/>
      <c r="C43" s="670"/>
      <c r="D43" s="670"/>
      <c r="E43" s="670"/>
      <c r="F43" s="671"/>
      <c r="G43" s="671"/>
      <c r="H43" s="671"/>
      <c r="I43" s="671"/>
      <c r="J43" s="756" t="s">
        <v>1110</v>
      </c>
      <c r="K43" s="756"/>
      <c r="L43" s="756"/>
      <c r="M43" s="686"/>
      <c r="N43" s="165"/>
      <c r="O43" s="165"/>
      <c r="P43" s="165"/>
      <c r="Q43" s="592"/>
    </row>
    <row r="44" spans="1:17" ht="12.75" customHeight="1" x14ac:dyDescent="0.2">
      <c r="A44" s="593"/>
      <c r="B44" s="593"/>
      <c r="C44" s="593"/>
      <c r="D44" s="593"/>
      <c r="E44" s="593"/>
      <c r="F44" s="593"/>
      <c r="G44" s="593"/>
      <c r="H44" s="593"/>
      <c r="I44" s="593"/>
      <c r="J44" s="593"/>
    </row>
    <row r="45" spans="1:17" ht="12.75" customHeight="1" x14ac:dyDescent="0.2">
      <c r="A45" s="560"/>
      <c r="B45" s="560"/>
      <c r="C45" s="560"/>
      <c r="D45" s="560"/>
      <c r="E45" s="560"/>
      <c r="F45" s="560"/>
      <c r="G45" s="560"/>
      <c r="H45" s="593"/>
      <c r="I45" s="593"/>
      <c r="J45" s="593"/>
      <c r="K45" s="593"/>
    </row>
    <row r="46" spans="1:17" x14ac:dyDescent="0.2">
      <c r="A46" s="92"/>
      <c r="B46" s="92"/>
      <c r="C46" s="92"/>
      <c r="E46" s="92"/>
      <c r="H46" s="243"/>
      <c r="I46" s="243"/>
      <c r="J46" s="243"/>
    </row>
    <row r="50" spans="1:10" x14ac:dyDescent="0.2">
      <c r="A50" s="1180"/>
      <c r="B50" s="1180"/>
      <c r="C50" s="1180"/>
      <c r="D50" s="1180"/>
      <c r="E50" s="1180"/>
      <c r="F50" s="1180"/>
      <c r="G50" s="1180"/>
      <c r="H50" s="1180"/>
      <c r="I50" s="1180"/>
      <c r="J50" s="1180"/>
    </row>
    <row r="52" spans="1:10" x14ac:dyDescent="0.2">
      <c r="A52" s="1180"/>
      <c r="B52" s="1180"/>
      <c r="C52" s="1180"/>
      <c r="D52" s="1180"/>
      <c r="E52" s="1180"/>
      <c r="F52" s="1180"/>
      <c r="G52" s="1180"/>
      <c r="H52" s="1180"/>
      <c r="I52" s="1180"/>
      <c r="J52" s="1180"/>
    </row>
  </sheetData>
  <mergeCells count="19">
    <mergeCell ref="E1:I1"/>
    <mergeCell ref="A2:J2"/>
    <mergeCell ref="A3:J3"/>
    <mergeCell ref="A5:L5"/>
    <mergeCell ref="H8:L8"/>
    <mergeCell ref="A9:A10"/>
    <mergeCell ref="B9:B10"/>
    <mergeCell ref="C9:D9"/>
    <mergeCell ref="E9:F9"/>
    <mergeCell ref="G9:H9"/>
    <mergeCell ref="I9:J9"/>
    <mergeCell ref="K9:L9"/>
    <mergeCell ref="C12:L36"/>
    <mergeCell ref="A52:J52"/>
    <mergeCell ref="A50:J50"/>
    <mergeCell ref="A36:B36"/>
    <mergeCell ref="J43:L43"/>
    <mergeCell ref="K40:L40"/>
    <mergeCell ref="A40:B40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topLeftCell="A13" zoomScaleNormal="90" zoomScaleSheetLayoutView="100" workbookViewId="0">
      <selection activeCell="D33" sqref="D33:E33"/>
    </sheetView>
  </sheetViews>
  <sheetFormatPr defaultRowHeight="12.75" x14ac:dyDescent="0.2"/>
  <cols>
    <col min="1" max="1" width="10.140625" customWidth="1"/>
    <col min="2" max="2" width="24.5703125" bestFit="1" customWidth="1"/>
    <col min="3" max="3" width="17.28515625" customWidth="1"/>
    <col min="4" max="4" width="16.28515625" customWidth="1"/>
    <col min="5" max="5" width="19.85546875" customWidth="1"/>
    <col min="6" max="6" width="18.140625" customWidth="1"/>
    <col min="7" max="7" width="19.42578125" customWidth="1"/>
    <col min="8" max="8" width="19.140625" customWidth="1"/>
  </cols>
  <sheetData>
    <row r="1" spans="1:8" ht="18" x14ac:dyDescent="0.35">
      <c r="A1" s="867" t="s">
        <v>0</v>
      </c>
      <c r="B1" s="867"/>
      <c r="C1" s="867"/>
      <c r="D1" s="867"/>
      <c r="E1" s="867"/>
      <c r="F1" s="867"/>
      <c r="G1" s="867"/>
      <c r="H1" s="178" t="s">
        <v>245</v>
      </c>
    </row>
    <row r="2" spans="1:8" ht="21" x14ac:dyDescent="0.35">
      <c r="A2" s="868" t="s">
        <v>694</v>
      </c>
      <c r="B2" s="868"/>
      <c r="C2" s="868"/>
      <c r="D2" s="868"/>
      <c r="E2" s="868"/>
      <c r="F2" s="868"/>
      <c r="G2" s="868"/>
      <c r="H2" s="868"/>
    </row>
    <row r="3" spans="1:8" ht="15" x14ac:dyDescent="0.3">
      <c r="A3" s="180"/>
      <c r="B3" s="180"/>
    </row>
    <row r="4" spans="1:8" ht="18" customHeight="1" x14ac:dyDescent="0.35">
      <c r="A4" s="869" t="s">
        <v>734</v>
      </c>
      <c r="B4" s="869"/>
      <c r="C4" s="869"/>
      <c r="D4" s="869"/>
      <c r="E4" s="869"/>
      <c r="F4" s="869"/>
      <c r="G4" s="869"/>
      <c r="H4" s="869"/>
    </row>
    <row r="5" spans="1:8" ht="15" x14ac:dyDescent="0.3">
      <c r="A5" s="181" t="s">
        <v>246</v>
      </c>
      <c r="B5" s="14" t="s">
        <v>874</v>
      </c>
    </row>
    <row r="6" spans="1:8" ht="15" x14ac:dyDescent="0.3">
      <c r="A6" s="181"/>
      <c r="B6" s="181"/>
      <c r="G6" s="870" t="s">
        <v>772</v>
      </c>
      <c r="H6" s="870"/>
    </row>
    <row r="7" spans="1:8" s="335" customFormat="1" ht="59.25" customHeight="1" x14ac:dyDescent="0.2">
      <c r="A7" s="333" t="s">
        <v>1</v>
      </c>
      <c r="B7" s="333" t="s">
        <v>2</v>
      </c>
      <c r="C7" s="334" t="s">
        <v>247</v>
      </c>
      <c r="D7" s="334" t="s">
        <v>248</v>
      </c>
      <c r="E7" s="334" t="s">
        <v>249</v>
      </c>
      <c r="F7" s="334" t="s">
        <v>250</v>
      </c>
      <c r="G7" s="334" t="s">
        <v>251</v>
      </c>
      <c r="H7" s="334" t="s">
        <v>252</v>
      </c>
    </row>
    <row r="8" spans="1:8" s="178" customFormat="1" ht="15" x14ac:dyDescent="0.25">
      <c r="A8" s="183" t="s">
        <v>253</v>
      </c>
      <c r="B8" s="184" t="s">
        <v>254</v>
      </c>
      <c r="C8" s="183" t="s">
        <v>255</v>
      </c>
      <c r="D8" s="183" t="s">
        <v>256</v>
      </c>
      <c r="E8" s="183" t="s">
        <v>257</v>
      </c>
      <c r="F8" s="183" t="s">
        <v>258</v>
      </c>
      <c r="G8" s="183" t="s">
        <v>259</v>
      </c>
      <c r="H8" s="183" t="s">
        <v>260</v>
      </c>
    </row>
    <row r="9" spans="1:8" x14ac:dyDescent="0.2">
      <c r="A9" s="8">
        <v>1</v>
      </c>
      <c r="B9" s="184" t="s">
        <v>875</v>
      </c>
      <c r="C9" s="184">
        <f>'AT3A_cvrg(Insti)_PY'!G12</f>
        <v>1332</v>
      </c>
      <c r="D9" s="184">
        <f>'AT3C_cvrg(Insti)_UPY '!G11</f>
        <v>50</v>
      </c>
      <c r="E9" s="184">
        <f>'AT3B_cvrg(Insti)_UPY '!G11</f>
        <v>795</v>
      </c>
      <c r="F9" s="184">
        <f>SUM(C9:E9)</f>
        <v>2177</v>
      </c>
      <c r="G9" s="184">
        <f>'AT3A_cvrg(Insti)_PY'!L12+'AT3B_cvrg(Insti)_UPY '!L11+'AT3C_cvrg(Insti)_UPY '!L11</f>
        <v>2177</v>
      </c>
      <c r="H9" s="9">
        <f>F9-G9</f>
        <v>0</v>
      </c>
    </row>
    <row r="10" spans="1:8" x14ac:dyDescent="0.2">
      <c r="A10" s="8">
        <v>2</v>
      </c>
      <c r="B10" s="184" t="s">
        <v>876</v>
      </c>
      <c r="C10" s="184">
        <f>'AT3A_cvrg(Insti)_PY'!G13</f>
        <v>549</v>
      </c>
      <c r="D10" s="184">
        <f>'AT3C_cvrg(Insti)_UPY '!G12</f>
        <v>19</v>
      </c>
      <c r="E10" s="184">
        <f>'AT3B_cvrg(Insti)_UPY '!G12</f>
        <v>300</v>
      </c>
      <c r="F10" s="184">
        <f t="shared" ref="F10:F32" si="0">SUM(C10:E10)</f>
        <v>868</v>
      </c>
      <c r="G10" s="184">
        <f>'AT3A_cvrg(Insti)_PY'!L13+'AT3B_cvrg(Insti)_UPY '!L12+'AT3C_cvrg(Insti)_UPY '!L12</f>
        <v>868</v>
      </c>
      <c r="H10" s="9">
        <f t="shared" ref="H10:H32" si="1">F10-G10</f>
        <v>0</v>
      </c>
    </row>
    <row r="11" spans="1:8" x14ac:dyDescent="0.2">
      <c r="A11" s="8">
        <v>3</v>
      </c>
      <c r="B11" s="184" t="s">
        <v>877</v>
      </c>
      <c r="C11" s="184">
        <f>'AT3A_cvrg(Insti)_PY'!G14</f>
        <v>290</v>
      </c>
      <c r="D11" s="184">
        <f>'AT3C_cvrg(Insti)_UPY '!G13</f>
        <v>6</v>
      </c>
      <c r="E11" s="184">
        <f>'AT3B_cvrg(Insti)_UPY '!G13</f>
        <v>195</v>
      </c>
      <c r="F11" s="184">
        <f t="shared" si="0"/>
        <v>491</v>
      </c>
      <c r="G11" s="184">
        <f>'AT3A_cvrg(Insti)_PY'!L14+'AT3B_cvrg(Insti)_UPY '!L13+'AT3C_cvrg(Insti)_UPY '!L13</f>
        <v>491</v>
      </c>
      <c r="H11" s="9">
        <f t="shared" si="1"/>
        <v>0</v>
      </c>
    </row>
    <row r="12" spans="1:8" x14ac:dyDescent="0.2">
      <c r="A12" s="8">
        <v>4</v>
      </c>
      <c r="B12" s="184" t="s">
        <v>878</v>
      </c>
      <c r="C12" s="184">
        <f>'AT3A_cvrg(Insti)_PY'!G15</f>
        <v>919</v>
      </c>
      <c r="D12" s="184">
        <f>'AT3C_cvrg(Insti)_UPY '!G14</f>
        <v>37</v>
      </c>
      <c r="E12" s="184">
        <f>'AT3B_cvrg(Insti)_UPY '!G14</f>
        <v>563</v>
      </c>
      <c r="F12" s="184">
        <f t="shared" si="0"/>
        <v>1519</v>
      </c>
      <c r="G12" s="184">
        <f>'AT3A_cvrg(Insti)_PY'!L15+'AT3B_cvrg(Insti)_UPY '!L14+'AT3C_cvrg(Insti)_UPY '!L14</f>
        <v>1519</v>
      </c>
      <c r="H12" s="9">
        <f t="shared" si="1"/>
        <v>0</v>
      </c>
    </row>
    <row r="13" spans="1:8" x14ac:dyDescent="0.2">
      <c r="A13" s="8">
        <v>5</v>
      </c>
      <c r="B13" s="184" t="s">
        <v>879</v>
      </c>
      <c r="C13" s="184">
        <f>'AT3A_cvrg(Insti)_PY'!G16</f>
        <v>586</v>
      </c>
      <c r="D13" s="184">
        <f>'AT3C_cvrg(Insti)_UPY '!G15</f>
        <v>38</v>
      </c>
      <c r="E13" s="184">
        <f>'AT3B_cvrg(Insti)_UPY '!G15</f>
        <v>344</v>
      </c>
      <c r="F13" s="184">
        <f t="shared" si="0"/>
        <v>968</v>
      </c>
      <c r="G13" s="184">
        <f>'AT3A_cvrg(Insti)_PY'!L16+'AT3B_cvrg(Insti)_UPY '!L15+'AT3C_cvrg(Insti)_UPY '!L15</f>
        <v>968</v>
      </c>
      <c r="H13" s="9">
        <f t="shared" si="1"/>
        <v>0</v>
      </c>
    </row>
    <row r="14" spans="1:8" x14ac:dyDescent="0.2">
      <c r="A14" s="8">
        <v>6</v>
      </c>
      <c r="B14" s="184" t="s">
        <v>880</v>
      </c>
      <c r="C14" s="184">
        <f>'AT3A_cvrg(Insti)_PY'!G17</f>
        <v>966</v>
      </c>
      <c r="D14" s="184">
        <f>'AT3C_cvrg(Insti)_UPY '!G16</f>
        <v>29</v>
      </c>
      <c r="E14" s="184">
        <f>'AT3B_cvrg(Insti)_UPY '!G16</f>
        <v>626</v>
      </c>
      <c r="F14" s="184">
        <f t="shared" si="0"/>
        <v>1621</v>
      </c>
      <c r="G14" s="184">
        <f>'AT3A_cvrg(Insti)_PY'!L17+'AT3B_cvrg(Insti)_UPY '!L16+'AT3C_cvrg(Insti)_UPY '!L16</f>
        <v>1620</v>
      </c>
      <c r="H14" s="9">
        <f t="shared" si="1"/>
        <v>1</v>
      </c>
    </row>
    <row r="15" spans="1:8" x14ac:dyDescent="0.2">
      <c r="A15" s="8">
        <v>7</v>
      </c>
      <c r="B15" s="184" t="s">
        <v>881</v>
      </c>
      <c r="C15" s="184">
        <f>'AT3A_cvrg(Insti)_PY'!G18</f>
        <v>821</v>
      </c>
      <c r="D15" s="184">
        <f>'AT3C_cvrg(Insti)_UPY '!G17</f>
        <v>9</v>
      </c>
      <c r="E15" s="184">
        <f>'AT3B_cvrg(Insti)_UPY '!G17</f>
        <v>551</v>
      </c>
      <c r="F15" s="184">
        <f t="shared" si="0"/>
        <v>1381</v>
      </c>
      <c r="G15" s="184">
        <f>'AT3A_cvrg(Insti)_PY'!L18+'AT3B_cvrg(Insti)_UPY '!L17+'AT3C_cvrg(Insti)_UPY '!L17</f>
        <v>1381</v>
      </c>
      <c r="H15" s="9">
        <f t="shared" si="1"/>
        <v>0</v>
      </c>
    </row>
    <row r="16" spans="1:8" x14ac:dyDescent="0.2">
      <c r="A16" s="8">
        <v>8</v>
      </c>
      <c r="B16" s="184" t="s">
        <v>882</v>
      </c>
      <c r="C16" s="184">
        <f>'AT3A_cvrg(Insti)_PY'!G19</f>
        <v>1379</v>
      </c>
      <c r="D16" s="184">
        <f>'AT3C_cvrg(Insti)_UPY '!G18</f>
        <v>19</v>
      </c>
      <c r="E16" s="184">
        <f>'AT3B_cvrg(Insti)_UPY '!G18</f>
        <v>668</v>
      </c>
      <c r="F16" s="184">
        <f t="shared" si="0"/>
        <v>2066</v>
      </c>
      <c r="G16" s="184">
        <f>'AT3A_cvrg(Insti)_PY'!L19+'AT3B_cvrg(Insti)_UPY '!L18+'AT3C_cvrg(Insti)_UPY '!L18</f>
        <v>2066</v>
      </c>
      <c r="H16" s="9">
        <f t="shared" si="1"/>
        <v>0</v>
      </c>
    </row>
    <row r="17" spans="1:10" x14ac:dyDescent="0.2">
      <c r="A17" s="8">
        <v>9</v>
      </c>
      <c r="B17" s="184" t="s">
        <v>883</v>
      </c>
      <c r="C17" s="184">
        <f>'AT3A_cvrg(Insti)_PY'!G20</f>
        <v>1203</v>
      </c>
      <c r="D17" s="184">
        <f>'AT3C_cvrg(Insti)_UPY '!G19</f>
        <v>3</v>
      </c>
      <c r="E17" s="184">
        <f>'AT3B_cvrg(Insti)_UPY '!G19</f>
        <v>1293</v>
      </c>
      <c r="F17" s="184">
        <f t="shared" si="0"/>
        <v>2499</v>
      </c>
      <c r="G17" s="184">
        <f>'AT3A_cvrg(Insti)_PY'!L20+'AT3B_cvrg(Insti)_UPY '!L19+'AT3C_cvrg(Insti)_UPY '!L19</f>
        <v>2499</v>
      </c>
      <c r="H17" s="9">
        <f t="shared" si="1"/>
        <v>0</v>
      </c>
    </row>
    <row r="18" spans="1:10" x14ac:dyDescent="0.2">
      <c r="A18" s="8">
        <v>10</v>
      </c>
      <c r="B18" s="184" t="s">
        <v>884</v>
      </c>
      <c r="C18" s="184">
        <f>'AT3A_cvrg(Insti)_PY'!G21</f>
        <v>632</v>
      </c>
      <c r="D18" s="184">
        <f>'AT3C_cvrg(Insti)_UPY '!G20</f>
        <v>5</v>
      </c>
      <c r="E18" s="184">
        <f>'AT3B_cvrg(Insti)_UPY '!G20</f>
        <v>400</v>
      </c>
      <c r="F18" s="184">
        <f t="shared" si="0"/>
        <v>1037</v>
      </c>
      <c r="G18" s="184">
        <f>'AT3A_cvrg(Insti)_PY'!L21+'AT3B_cvrg(Insti)_UPY '!L20+'AT3C_cvrg(Insti)_UPY '!L20</f>
        <v>1037</v>
      </c>
      <c r="H18" s="9">
        <f t="shared" si="1"/>
        <v>0</v>
      </c>
    </row>
    <row r="19" spans="1:10" x14ac:dyDescent="0.2">
      <c r="A19" s="8">
        <v>11</v>
      </c>
      <c r="B19" s="184" t="s">
        <v>885</v>
      </c>
      <c r="C19" s="184">
        <f>'AT3A_cvrg(Insti)_PY'!G22</f>
        <v>980</v>
      </c>
      <c r="D19" s="184">
        <f>'AT3C_cvrg(Insti)_UPY '!G21</f>
        <v>0</v>
      </c>
      <c r="E19" s="184">
        <f>'AT3B_cvrg(Insti)_UPY '!G21</f>
        <v>440</v>
      </c>
      <c r="F19" s="184">
        <f t="shared" si="0"/>
        <v>1420</v>
      </c>
      <c r="G19" s="184">
        <f>'AT3A_cvrg(Insti)_PY'!L22+'AT3B_cvrg(Insti)_UPY '!L21+'AT3C_cvrg(Insti)_UPY '!L21</f>
        <v>1420</v>
      </c>
      <c r="H19" s="9">
        <f t="shared" si="1"/>
        <v>0</v>
      </c>
    </row>
    <row r="20" spans="1:10" x14ac:dyDescent="0.2">
      <c r="A20" s="8">
        <v>12</v>
      </c>
      <c r="B20" s="241" t="s">
        <v>886</v>
      </c>
      <c r="C20" s="184">
        <f>'AT3A_cvrg(Insti)_PY'!G23</f>
        <v>899</v>
      </c>
      <c r="D20" s="184">
        <f>'AT3C_cvrg(Insti)_UPY '!G22</f>
        <v>10</v>
      </c>
      <c r="E20" s="184">
        <f>'AT3B_cvrg(Insti)_UPY '!G22</f>
        <v>570</v>
      </c>
      <c r="F20" s="184">
        <f t="shared" si="0"/>
        <v>1479</v>
      </c>
      <c r="G20" s="184">
        <f>'AT3A_cvrg(Insti)_PY'!L23+'AT3B_cvrg(Insti)_UPY '!L22+'AT3C_cvrg(Insti)_UPY '!L22</f>
        <v>1479</v>
      </c>
      <c r="H20" s="9">
        <f t="shared" si="1"/>
        <v>0</v>
      </c>
    </row>
    <row r="21" spans="1:10" x14ac:dyDescent="0.2">
      <c r="A21" s="8">
        <v>13</v>
      </c>
      <c r="B21" s="184" t="s">
        <v>887</v>
      </c>
      <c r="C21" s="184">
        <f>'AT3A_cvrg(Insti)_PY'!G24</f>
        <v>347</v>
      </c>
      <c r="D21" s="184">
        <f>'AT3C_cvrg(Insti)_UPY '!G23</f>
        <v>0</v>
      </c>
      <c r="E21" s="184">
        <f>'AT3B_cvrg(Insti)_UPY '!G23</f>
        <v>240</v>
      </c>
      <c r="F21" s="184">
        <f t="shared" si="0"/>
        <v>587</v>
      </c>
      <c r="G21" s="184">
        <f>'AT3A_cvrg(Insti)_PY'!L24+'AT3B_cvrg(Insti)_UPY '!L23+'AT3C_cvrg(Insti)_UPY '!L23</f>
        <v>587</v>
      </c>
      <c r="H21" s="9">
        <f t="shared" si="1"/>
        <v>0</v>
      </c>
    </row>
    <row r="22" spans="1:10" x14ac:dyDescent="0.2">
      <c r="A22" s="8">
        <v>14</v>
      </c>
      <c r="B22" s="184" t="s">
        <v>888</v>
      </c>
      <c r="C22" s="184">
        <f>'AT3A_cvrg(Insti)_PY'!G25</f>
        <v>363</v>
      </c>
      <c r="D22" s="184">
        <f>'AT3C_cvrg(Insti)_UPY '!G24</f>
        <v>0</v>
      </c>
      <c r="E22" s="184">
        <f>'AT3B_cvrg(Insti)_UPY '!G24</f>
        <v>296</v>
      </c>
      <c r="F22" s="184">
        <f t="shared" si="0"/>
        <v>659</v>
      </c>
      <c r="G22" s="184">
        <f>'AT3A_cvrg(Insti)_PY'!L25+'AT3B_cvrg(Insti)_UPY '!L24+'AT3C_cvrg(Insti)_UPY '!L24</f>
        <v>659</v>
      </c>
      <c r="H22" s="9">
        <f t="shared" si="1"/>
        <v>0</v>
      </c>
    </row>
    <row r="23" spans="1:10" x14ac:dyDescent="0.2">
      <c r="A23" s="8">
        <v>15</v>
      </c>
      <c r="B23" s="184" t="s">
        <v>889</v>
      </c>
      <c r="C23" s="184">
        <f>'AT3A_cvrg(Insti)_PY'!G26</f>
        <v>895</v>
      </c>
      <c r="D23" s="184">
        <f>'AT3C_cvrg(Insti)_UPY '!G25</f>
        <v>2</v>
      </c>
      <c r="E23" s="184">
        <f>'AT3B_cvrg(Insti)_UPY '!G25</f>
        <v>642</v>
      </c>
      <c r="F23" s="184">
        <f t="shared" si="0"/>
        <v>1539</v>
      </c>
      <c r="G23" s="184">
        <f>'AT3A_cvrg(Insti)_PY'!L26+'AT3B_cvrg(Insti)_UPY '!L25+'AT3C_cvrg(Insti)_UPY '!L25</f>
        <v>1539</v>
      </c>
      <c r="H23" s="9">
        <f t="shared" si="1"/>
        <v>0</v>
      </c>
      <c r="J23" s="15" t="s">
        <v>10</v>
      </c>
    </row>
    <row r="24" spans="1:10" x14ac:dyDescent="0.2">
      <c r="A24" s="8">
        <v>16</v>
      </c>
      <c r="B24" s="184" t="s">
        <v>890</v>
      </c>
      <c r="C24" s="184">
        <f>'AT3A_cvrg(Insti)_PY'!G27</f>
        <v>1888</v>
      </c>
      <c r="D24" s="184">
        <f>'AT3C_cvrg(Insti)_UPY '!G26</f>
        <v>14</v>
      </c>
      <c r="E24" s="184">
        <f>'AT3B_cvrg(Insti)_UPY '!G26</f>
        <v>1234</v>
      </c>
      <c r="F24" s="184">
        <f t="shared" si="0"/>
        <v>3136</v>
      </c>
      <c r="G24" s="184">
        <f>'AT3A_cvrg(Insti)_PY'!L27+'AT3B_cvrg(Insti)_UPY '!L26+'AT3C_cvrg(Insti)_UPY '!L26</f>
        <v>3136</v>
      </c>
      <c r="H24" s="9">
        <f t="shared" si="1"/>
        <v>0</v>
      </c>
    </row>
    <row r="25" spans="1:10" x14ac:dyDescent="0.2">
      <c r="A25" s="8">
        <v>17</v>
      </c>
      <c r="B25" s="184" t="s">
        <v>891</v>
      </c>
      <c r="C25" s="184">
        <f>'AT3A_cvrg(Insti)_PY'!G28</f>
        <v>1091</v>
      </c>
      <c r="D25" s="184">
        <f>'AT3C_cvrg(Insti)_UPY '!G27</f>
        <v>2</v>
      </c>
      <c r="E25" s="184">
        <f>'AT3B_cvrg(Insti)_UPY '!G27</f>
        <v>601</v>
      </c>
      <c r="F25" s="184">
        <f t="shared" si="0"/>
        <v>1694</v>
      </c>
      <c r="G25" s="184">
        <f>'AT3A_cvrg(Insti)_PY'!L28+'AT3B_cvrg(Insti)_UPY '!L27+'AT3C_cvrg(Insti)_UPY '!L27</f>
        <v>1694</v>
      </c>
      <c r="H25" s="9">
        <f t="shared" si="1"/>
        <v>0</v>
      </c>
    </row>
    <row r="26" spans="1:10" x14ac:dyDescent="0.2">
      <c r="A26" s="8">
        <v>18</v>
      </c>
      <c r="B26" s="184" t="s">
        <v>892</v>
      </c>
      <c r="C26" s="184">
        <v>990</v>
      </c>
      <c r="D26" s="184">
        <f>'AT3C_cvrg(Insti)_UPY '!G28</f>
        <v>2</v>
      </c>
      <c r="E26" s="184">
        <f>'AT3B_cvrg(Insti)_UPY '!G28</f>
        <v>530</v>
      </c>
      <c r="F26" s="184">
        <f t="shared" si="0"/>
        <v>1522</v>
      </c>
      <c r="G26" s="184">
        <f>'AT3A_cvrg(Insti)_PY'!L29+'AT3B_cvrg(Insti)_UPY '!L28+'AT3C_cvrg(Insti)_UPY '!L28</f>
        <v>1522</v>
      </c>
      <c r="H26" s="9">
        <f t="shared" si="1"/>
        <v>0</v>
      </c>
    </row>
    <row r="27" spans="1:10" x14ac:dyDescent="0.2">
      <c r="A27" s="8">
        <v>19</v>
      </c>
      <c r="B27" s="184" t="s">
        <v>893</v>
      </c>
      <c r="C27" s="184">
        <f>'AT3A_cvrg(Insti)_PY'!G30</f>
        <v>1504</v>
      </c>
      <c r="D27" s="184">
        <f>'AT3C_cvrg(Insti)_UPY '!G29</f>
        <v>8</v>
      </c>
      <c r="E27" s="184">
        <f>'AT3B_cvrg(Insti)_UPY '!G29</f>
        <v>802</v>
      </c>
      <c r="F27" s="184">
        <f t="shared" si="0"/>
        <v>2314</v>
      </c>
      <c r="G27" s="184">
        <f>'AT3A_cvrg(Insti)_PY'!L30+'AT3B_cvrg(Insti)_UPY '!L29+'AT3C_cvrg(Insti)_UPY '!L29</f>
        <v>2314</v>
      </c>
      <c r="H27" s="9">
        <f t="shared" si="1"/>
        <v>0</v>
      </c>
    </row>
    <row r="28" spans="1:10" x14ac:dyDescent="0.2">
      <c r="A28" s="8">
        <v>20</v>
      </c>
      <c r="B28" s="184" t="s">
        <v>894</v>
      </c>
      <c r="C28" s="184">
        <f>'AT3A_cvrg(Insti)_PY'!G31</f>
        <v>600</v>
      </c>
      <c r="D28" s="184">
        <f>'AT3C_cvrg(Insti)_UPY '!G30</f>
        <v>2</v>
      </c>
      <c r="E28" s="184">
        <f>'AT3B_cvrg(Insti)_UPY '!G30</f>
        <v>413</v>
      </c>
      <c r="F28" s="184">
        <f t="shared" si="0"/>
        <v>1015</v>
      </c>
      <c r="G28" s="184">
        <f>'AT3A_cvrg(Insti)_PY'!L31+'AT3B_cvrg(Insti)_UPY '!L30+'AT3C_cvrg(Insti)_UPY '!L30</f>
        <v>1015</v>
      </c>
      <c r="H28" s="9">
        <f t="shared" si="1"/>
        <v>0</v>
      </c>
    </row>
    <row r="29" spans="1:10" x14ac:dyDescent="0.2">
      <c r="A29" s="8">
        <v>21</v>
      </c>
      <c r="B29" s="184" t="s">
        <v>895</v>
      </c>
      <c r="C29" s="184">
        <f>'AT3A_cvrg(Insti)_PY'!G32</f>
        <v>758</v>
      </c>
      <c r="D29" s="184">
        <f>'AT3C_cvrg(Insti)_UPY '!G31</f>
        <v>12</v>
      </c>
      <c r="E29" s="184">
        <f>'AT3B_cvrg(Insti)_UPY '!G31</f>
        <v>516</v>
      </c>
      <c r="F29" s="184">
        <f t="shared" si="0"/>
        <v>1286</v>
      </c>
      <c r="G29" s="184">
        <f>'AT3A_cvrg(Insti)_PY'!L32+'AT3B_cvrg(Insti)_UPY '!L31+'AT3C_cvrg(Insti)_UPY '!L31</f>
        <v>1286</v>
      </c>
      <c r="H29" s="9">
        <f t="shared" si="1"/>
        <v>0</v>
      </c>
    </row>
    <row r="30" spans="1:10" x14ac:dyDescent="0.2">
      <c r="A30" s="8">
        <v>22</v>
      </c>
      <c r="B30" s="184" t="s">
        <v>896</v>
      </c>
      <c r="C30" s="184">
        <f>'AT3A_cvrg(Insti)_PY'!G33</f>
        <v>628</v>
      </c>
      <c r="D30" s="184">
        <f>'AT3C_cvrg(Insti)_UPY '!G32</f>
        <v>8</v>
      </c>
      <c r="E30" s="184">
        <f>'AT3B_cvrg(Insti)_UPY '!G32</f>
        <v>375</v>
      </c>
      <c r="F30" s="184">
        <f t="shared" si="0"/>
        <v>1011</v>
      </c>
      <c r="G30" s="184">
        <f>'AT3A_cvrg(Insti)_PY'!L33+'AT3B_cvrg(Insti)_UPY '!L32+'AT3C_cvrg(Insti)_UPY '!L32</f>
        <v>1011</v>
      </c>
      <c r="H30" s="9">
        <f t="shared" si="1"/>
        <v>0</v>
      </c>
    </row>
    <row r="31" spans="1:10" x14ac:dyDescent="0.2">
      <c r="A31" s="8">
        <v>23</v>
      </c>
      <c r="B31" s="184" t="s">
        <v>897</v>
      </c>
      <c r="C31" s="184">
        <f>'AT3A_cvrg(Insti)_PY'!G34</f>
        <v>922</v>
      </c>
      <c r="D31" s="184">
        <f>'AT3C_cvrg(Insti)_UPY '!G33</f>
        <v>4</v>
      </c>
      <c r="E31" s="184">
        <f>'AT3B_cvrg(Insti)_UPY '!G33</f>
        <v>614</v>
      </c>
      <c r="F31" s="184">
        <f t="shared" si="0"/>
        <v>1540</v>
      </c>
      <c r="G31" s="184">
        <f>'AT3A_cvrg(Insti)_PY'!L34+'AT3B_cvrg(Insti)_UPY '!L33+'AT3C_cvrg(Insti)_UPY '!L33</f>
        <v>1540</v>
      </c>
      <c r="H31" s="9">
        <f t="shared" si="1"/>
        <v>0</v>
      </c>
    </row>
    <row r="32" spans="1:10" x14ac:dyDescent="0.2">
      <c r="A32" s="8">
        <v>24</v>
      </c>
      <c r="B32" s="184" t="s">
        <v>898</v>
      </c>
      <c r="C32" s="184">
        <f>'AT3A_cvrg(Insti)_PY'!G35</f>
        <v>1296</v>
      </c>
      <c r="D32" s="184">
        <f>'AT3C_cvrg(Insti)_UPY '!G34</f>
        <v>16</v>
      </c>
      <c r="E32" s="184">
        <f>'AT3B_cvrg(Insti)_UPY '!G34</f>
        <v>633</v>
      </c>
      <c r="F32" s="184">
        <f t="shared" si="0"/>
        <v>1945</v>
      </c>
      <c r="G32" s="184">
        <f>'AT3A_cvrg(Insti)_PY'!L35+'AT3B_cvrg(Insti)_UPY '!L34+'AT3C_cvrg(Insti)_UPY '!L34</f>
        <v>1945</v>
      </c>
      <c r="H32" s="9">
        <f t="shared" si="1"/>
        <v>0</v>
      </c>
    </row>
    <row r="33" spans="1:17" s="14" customFormat="1" x14ac:dyDescent="0.2">
      <c r="A33" s="733" t="s">
        <v>15</v>
      </c>
      <c r="B33" s="735"/>
      <c r="C33" s="28">
        <f t="shared" ref="C33:H33" si="2">SUM(C9:C32)</f>
        <v>21838</v>
      </c>
      <c r="D33" s="28">
        <f t="shared" si="2"/>
        <v>295</v>
      </c>
      <c r="E33" s="28">
        <f t="shared" si="2"/>
        <v>13641</v>
      </c>
      <c r="F33" s="28">
        <f t="shared" si="2"/>
        <v>35774</v>
      </c>
      <c r="G33" s="28">
        <f t="shared" si="2"/>
        <v>35773</v>
      </c>
      <c r="H33" s="28">
        <f t="shared" si="2"/>
        <v>1</v>
      </c>
    </row>
    <row r="34" spans="1:17" x14ac:dyDescent="0.2">
      <c r="A34" s="185" t="s">
        <v>261</v>
      </c>
    </row>
    <row r="37" spans="1:17" ht="15" customHeight="1" x14ac:dyDescent="0.2">
      <c r="A37" s="186"/>
      <c r="B37" s="186"/>
      <c r="C37" s="186"/>
      <c r="D37" s="186"/>
      <c r="E37" s="186"/>
      <c r="F37" s="865" t="s">
        <v>1107</v>
      </c>
      <c r="G37" s="865"/>
      <c r="H37" s="187"/>
    </row>
    <row r="38" spans="1:17" ht="15" customHeight="1" x14ac:dyDescent="0.2">
      <c r="A38" s="186"/>
      <c r="B38" s="186"/>
      <c r="C38" s="186"/>
      <c r="D38" s="186"/>
      <c r="E38" s="186"/>
      <c r="F38" s="865" t="s">
        <v>1108</v>
      </c>
      <c r="G38" s="865"/>
      <c r="H38" s="865"/>
      <c r="I38" s="567"/>
      <c r="J38" s="448"/>
      <c r="K38" s="566"/>
      <c r="L38" s="566"/>
      <c r="M38" s="566"/>
      <c r="O38" s="567"/>
      <c r="P38" s="567"/>
      <c r="Q38" s="567"/>
    </row>
    <row r="39" spans="1:17" ht="15" customHeight="1" x14ac:dyDescent="0.2">
      <c r="A39" s="186"/>
      <c r="B39" s="186"/>
      <c r="C39" s="186"/>
      <c r="D39" s="186"/>
      <c r="E39" s="186"/>
      <c r="F39" s="865" t="s">
        <v>1113</v>
      </c>
      <c r="G39" s="865"/>
      <c r="H39" s="865"/>
      <c r="I39" s="567"/>
      <c r="J39" s="448"/>
      <c r="K39" s="566"/>
      <c r="L39" s="566"/>
      <c r="M39" s="566"/>
      <c r="O39" s="567"/>
      <c r="P39" s="567"/>
      <c r="Q39" s="567"/>
    </row>
    <row r="40" spans="1:17" x14ac:dyDescent="0.2">
      <c r="A40" s="186" t="s">
        <v>11</v>
      </c>
      <c r="B40" s="669"/>
      <c r="C40" s="186"/>
      <c r="D40" s="186"/>
      <c r="E40" s="186"/>
      <c r="F40" s="866" t="s">
        <v>1110</v>
      </c>
      <c r="G40" s="866"/>
      <c r="H40" s="188"/>
      <c r="I40" s="567"/>
      <c r="J40" s="448"/>
      <c r="K40" s="566"/>
      <c r="L40" s="566"/>
      <c r="M40" s="566"/>
      <c r="O40" s="567"/>
      <c r="P40" s="567"/>
      <c r="Q40" s="567"/>
    </row>
    <row r="41" spans="1:17" x14ac:dyDescent="0.2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</row>
  </sheetData>
  <mergeCells count="9">
    <mergeCell ref="F39:H39"/>
    <mergeCell ref="F40:G40"/>
    <mergeCell ref="F38:H38"/>
    <mergeCell ref="A1:G1"/>
    <mergeCell ref="A2:H2"/>
    <mergeCell ref="A4:H4"/>
    <mergeCell ref="G6:H6"/>
    <mergeCell ref="A33:B33"/>
    <mergeCell ref="F37:G37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view="pageBreakPreview" topLeftCell="A12" zoomScale="85" zoomScaleNormal="100" zoomScaleSheetLayoutView="85" workbookViewId="0">
      <selection activeCell="R20" sqref="R20"/>
    </sheetView>
  </sheetViews>
  <sheetFormatPr defaultRowHeight="12.75" x14ac:dyDescent="0.2"/>
  <cols>
    <col min="1" max="1" width="7.42578125" style="158" customWidth="1"/>
    <col min="2" max="2" width="15.28515625" style="158" customWidth="1"/>
    <col min="3" max="3" width="11" style="158" customWidth="1"/>
    <col min="4" max="4" width="10" style="158" customWidth="1"/>
    <col min="5" max="5" width="11.85546875" style="158" customWidth="1"/>
    <col min="6" max="6" width="12.140625" style="158" customWidth="1"/>
    <col min="7" max="7" width="13.28515625" style="158" customWidth="1"/>
    <col min="8" max="8" width="14.5703125" style="158" customWidth="1"/>
    <col min="9" max="9" width="12" style="158" customWidth="1"/>
    <col min="10" max="10" width="13.140625" style="158" customWidth="1"/>
    <col min="11" max="11" width="12.140625" style="158" customWidth="1"/>
    <col min="12" max="12" width="12" style="158" customWidth="1"/>
    <col min="13" max="16384" width="9.140625" style="158"/>
  </cols>
  <sheetData>
    <row r="1" spans="1:16" s="80" customFormat="1" x14ac:dyDescent="0.2">
      <c r="E1" s="1181"/>
      <c r="F1" s="1181"/>
      <c r="G1" s="1181"/>
      <c r="H1" s="1181"/>
      <c r="I1" s="1181"/>
      <c r="J1" s="269" t="s">
        <v>674</v>
      </c>
    </row>
    <row r="2" spans="1:16" s="80" customFormat="1" ht="15" x14ac:dyDescent="0.2">
      <c r="A2" s="1182" t="s">
        <v>0</v>
      </c>
      <c r="B2" s="1182"/>
      <c r="C2" s="1182"/>
      <c r="D2" s="1182"/>
      <c r="E2" s="1182"/>
      <c r="F2" s="1182"/>
      <c r="G2" s="1182"/>
      <c r="H2" s="1182"/>
      <c r="I2" s="1182"/>
      <c r="J2" s="1182"/>
    </row>
    <row r="3" spans="1:16" s="80" customFormat="1" ht="20.25" x14ac:dyDescent="0.3">
      <c r="A3" s="844" t="s">
        <v>694</v>
      </c>
      <c r="B3" s="844"/>
      <c r="C3" s="844"/>
      <c r="D3" s="844"/>
      <c r="E3" s="844"/>
      <c r="F3" s="844"/>
      <c r="G3" s="844"/>
      <c r="H3" s="844"/>
      <c r="I3" s="844"/>
      <c r="J3" s="844"/>
    </row>
    <row r="4" spans="1:16" s="80" customFormat="1" ht="14.25" customHeight="1" x14ac:dyDescent="0.2"/>
    <row r="5" spans="1:16" ht="16.5" customHeight="1" x14ac:dyDescent="0.25">
      <c r="A5" s="1183" t="s">
        <v>768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</row>
    <row r="6" spans="1:16" ht="13.5" customHeight="1" x14ac:dyDescent="0.2">
      <c r="A6" s="270"/>
      <c r="B6" s="270"/>
      <c r="C6" s="270"/>
      <c r="D6" s="270"/>
      <c r="E6" s="270"/>
      <c r="F6" s="270"/>
      <c r="G6" s="270"/>
      <c r="H6" s="270"/>
      <c r="I6" s="270"/>
      <c r="J6" s="270"/>
    </row>
    <row r="7" spans="1:16" x14ac:dyDescent="0.2">
      <c r="A7" s="33" t="s">
        <v>1098</v>
      </c>
    </row>
    <row r="8" spans="1:16" x14ac:dyDescent="0.2">
      <c r="A8" s="599"/>
      <c r="B8" s="599"/>
      <c r="C8" s="271"/>
      <c r="H8" s="1184" t="s">
        <v>770</v>
      </c>
      <c r="I8" s="1184"/>
      <c r="J8" s="1184"/>
      <c r="K8" s="1184"/>
      <c r="L8" s="1184"/>
    </row>
    <row r="9" spans="1:16" ht="21" customHeight="1" x14ac:dyDescent="0.2">
      <c r="A9" s="1025" t="s">
        <v>1</v>
      </c>
      <c r="B9" s="1025" t="s">
        <v>33</v>
      </c>
      <c r="C9" s="1170" t="s">
        <v>668</v>
      </c>
      <c r="D9" s="1170"/>
      <c r="E9" s="1170" t="s">
        <v>120</v>
      </c>
      <c r="F9" s="1170"/>
      <c r="G9" s="1170" t="s">
        <v>669</v>
      </c>
      <c r="H9" s="1170"/>
      <c r="I9" s="1170" t="s">
        <v>121</v>
      </c>
      <c r="J9" s="1170"/>
      <c r="K9" s="1170" t="s">
        <v>122</v>
      </c>
      <c r="L9" s="1170"/>
      <c r="O9" s="272"/>
      <c r="P9" s="273"/>
    </row>
    <row r="10" spans="1:16" ht="45" customHeight="1" x14ac:dyDescent="0.2">
      <c r="A10" s="1025"/>
      <c r="B10" s="1025"/>
      <c r="C10" s="84" t="s">
        <v>670</v>
      </c>
      <c r="D10" s="84" t="s">
        <v>671</v>
      </c>
      <c r="E10" s="84" t="s">
        <v>672</v>
      </c>
      <c r="F10" s="84" t="s">
        <v>673</v>
      </c>
      <c r="G10" s="84" t="s">
        <v>672</v>
      </c>
      <c r="H10" s="84" t="s">
        <v>673</v>
      </c>
      <c r="I10" s="84" t="s">
        <v>670</v>
      </c>
      <c r="J10" s="84" t="s">
        <v>671</v>
      </c>
      <c r="K10" s="84" t="s">
        <v>670</v>
      </c>
      <c r="L10" s="84" t="s">
        <v>671</v>
      </c>
    </row>
    <row r="11" spans="1:16" x14ac:dyDescent="0.2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</row>
    <row r="12" spans="1:16" x14ac:dyDescent="0.2">
      <c r="A12" s="274">
        <v>1</v>
      </c>
      <c r="B12" s="351" t="s">
        <v>875</v>
      </c>
      <c r="C12" s="1171" t="s">
        <v>980</v>
      </c>
      <c r="D12" s="1172"/>
      <c r="E12" s="1172"/>
      <c r="F12" s="1172"/>
      <c r="G12" s="1172"/>
      <c r="H12" s="1172"/>
      <c r="I12" s="1172"/>
      <c r="J12" s="1172"/>
      <c r="K12" s="1172"/>
      <c r="L12" s="1173"/>
    </row>
    <row r="13" spans="1:16" x14ac:dyDescent="0.2">
      <c r="A13" s="274">
        <v>2</v>
      </c>
      <c r="B13" s="351" t="s">
        <v>876</v>
      </c>
      <c r="C13" s="1174"/>
      <c r="D13" s="1175"/>
      <c r="E13" s="1175"/>
      <c r="F13" s="1175"/>
      <c r="G13" s="1175"/>
      <c r="H13" s="1175"/>
      <c r="I13" s="1175"/>
      <c r="J13" s="1175"/>
      <c r="K13" s="1175"/>
      <c r="L13" s="1176"/>
    </row>
    <row r="14" spans="1:16" x14ac:dyDescent="0.2">
      <c r="A14" s="274">
        <v>3</v>
      </c>
      <c r="B14" s="351" t="s">
        <v>877</v>
      </c>
      <c r="C14" s="1174"/>
      <c r="D14" s="1175"/>
      <c r="E14" s="1175"/>
      <c r="F14" s="1175"/>
      <c r="G14" s="1175"/>
      <c r="H14" s="1175"/>
      <c r="I14" s="1175"/>
      <c r="J14" s="1175"/>
      <c r="K14" s="1175"/>
      <c r="L14" s="1176"/>
    </row>
    <row r="15" spans="1:16" x14ac:dyDescent="0.2">
      <c r="A15" s="274">
        <v>4</v>
      </c>
      <c r="B15" s="351" t="s">
        <v>878</v>
      </c>
      <c r="C15" s="1174"/>
      <c r="D15" s="1175"/>
      <c r="E15" s="1175"/>
      <c r="F15" s="1175"/>
      <c r="G15" s="1175"/>
      <c r="H15" s="1175"/>
      <c r="I15" s="1175"/>
      <c r="J15" s="1175"/>
      <c r="K15" s="1175"/>
      <c r="L15" s="1176"/>
    </row>
    <row r="16" spans="1:16" x14ac:dyDescent="0.2">
      <c r="A16" s="274">
        <v>5</v>
      </c>
      <c r="B16" s="351" t="s">
        <v>879</v>
      </c>
      <c r="C16" s="1174"/>
      <c r="D16" s="1175"/>
      <c r="E16" s="1175"/>
      <c r="F16" s="1175"/>
      <c r="G16" s="1175"/>
      <c r="H16" s="1175"/>
      <c r="I16" s="1175"/>
      <c r="J16" s="1175"/>
      <c r="K16" s="1175"/>
      <c r="L16" s="1176"/>
    </row>
    <row r="17" spans="1:12" x14ac:dyDescent="0.2">
      <c r="A17" s="274">
        <v>6</v>
      </c>
      <c r="B17" s="351" t="s">
        <v>880</v>
      </c>
      <c r="C17" s="1174"/>
      <c r="D17" s="1175"/>
      <c r="E17" s="1175"/>
      <c r="F17" s="1175"/>
      <c r="G17" s="1175"/>
      <c r="H17" s="1175"/>
      <c r="I17" s="1175"/>
      <c r="J17" s="1175"/>
      <c r="K17" s="1175"/>
      <c r="L17" s="1176"/>
    </row>
    <row r="18" spans="1:12" x14ac:dyDescent="0.2">
      <c r="A18" s="274">
        <v>7</v>
      </c>
      <c r="B18" s="351" t="s">
        <v>923</v>
      </c>
      <c r="C18" s="1174"/>
      <c r="D18" s="1175"/>
      <c r="E18" s="1175"/>
      <c r="F18" s="1175"/>
      <c r="G18" s="1175"/>
      <c r="H18" s="1175"/>
      <c r="I18" s="1175"/>
      <c r="J18" s="1175"/>
      <c r="K18" s="1175"/>
      <c r="L18" s="1176"/>
    </row>
    <row r="19" spans="1:12" x14ac:dyDescent="0.2">
      <c r="A19" s="274">
        <v>8</v>
      </c>
      <c r="B19" s="351" t="s">
        <v>882</v>
      </c>
      <c r="C19" s="1174"/>
      <c r="D19" s="1175"/>
      <c r="E19" s="1175"/>
      <c r="F19" s="1175"/>
      <c r="G19" s="1175"/>
      <c r="H19" s="1175"/>
      <c r="I19" s="1175"/>
      <c r="J19" s="1175"/>
      <c r="K19" s="1175"/>
      <c r="L19" s="1176"/>
    </row>
    <row r="20" spans="1:12" x14ac:dyDescent="0.2">
      <c r="A20" s="274">
        <v>9</v>
      </c>
      <c r="B20" s="351" t="s">
        <v>883</v>
      </c>
      <c r="C20" s="1174"/>
      <c r="D20" s="1175"/>
      <c r="E20" s="1175"/>
      <c r="F20" s="1175"/>
      <c r="G20" s="1175"/>
      <c r="H20" s="1175"/>
      <c r="I20" s="1175"/>
      <c r="J20" s="1175"/>
      <c r="K20" s="1175"/>
      <c r="L20" s="1176"/>
    </row>
    <row r="21" spans="1:12" x14ac:dyDescent="0.2">
      <c r="A21" s="274">
        <v>10</v>
      </c>
      <c r="B21" s="351" t="s">
        <v>884</v>
      </c>
      <c r="C21" s="1174"/>
      <c r="D21" s="1175"/>
      <c r="E21" s="1175"/>
      <c r="F21" s="1175"/>
      <c r="G21" s="1175"/>
      <c r="H21" s="1175"/>
      <c r="I21" s="1175"/>
      <c r="J21" s="1175"/>
      <c r="K21" s="1175"/>
      <c r="L21" s="1176"/>
    </row>
    <row r="22" spans="1:12" x14ac:dyDescent="0.2">
      <c r="A22" s="274">
        <v>11</v>
      </c>
      <c r="B22" s="351" t="s">
        <v>885</v>
      </c>
      <c r="C22" s="1174"/>
      <c r="D22" s="1175"/>
      <c r="E22" s="1175"/>
      <c r="F22" s="1175"/>
      <c r="G22" s="1175"/>
      <c r="H22" s="1175"/>
      <c r="I22" s="1175"/>
      <c r="J22" s="1175"/>
      <c r="K22" s="1175"/>
      <c r="L22" s="1176"/>
    </row>
    <row r="23" spans="1:12" x14ac:dyDescent="0.2">
      <c r="A23" s="274">
        <v>12</v>
      </c>
      <c r="B23" s="351" t="s">
        <v>886</v>
      </c>
      <c r="C23" s="1174"/>
      <c r="D23" s="1175"/>
      <c r="E23" s="1175"/>
      <c r="F23" s="1175"/>
      <c r="G23" s="1175"/>
      <c r="H23" s="1175"/>
      <c r="I23" s="1175"/>
      <c r="J23" s="1175"/>
      <c r="K23" s="1175"/>
      <c r="L23" s="1176"/>
    </row>
    <row r="24" spans="1:12" x14ac:dyDescent="0.2">
      <c r="A24" s="274">
        <v>13</v>
      </c>
      <c r="B24" s="351" t="s">
        <v>887</v>
      </c>
      <c r="C24" s="1174"/>
      <c r="D24" s="1175"/>
      <c r="E24" s="1175"/>
      <c r="F24" s="1175"/>
      <c r="G24" s="1175"/>
      <c r="H24" s="1175"/>
      <c r="I24" s="1175"/>
      <c r="J24" s="1175"/>
      <c r="K24" s="1175"/>
      <c r="L24" s="1176"/>
    </row>
    <row r="25" spans="1:12" x14ac:dyDescent="0.2">
      <c r="A25" s="274">
        <v>14</v>
      </c>
      <c r="B25" s="351" t="s">
        <v>888</v>
      </c>
      <c r="C25" s="1174"/>
      <c r="D25" s="1175"/>
      <c r="E25" s="1175"/>
      <c r="F25" s="1175"/>
      <c r="G25" s="1175"/>
      <c r="H25" s="1175"/>
      <c r="I25" s="1175"/>
      <c r="J25" s="1175"/>
      <c r="K25" s="1175"/>
      <c r="L25" s="1176"/>
    </row>
    <row r="26" spans="1:12" x14ac:dyDescent="0.2">
      <c r="A26" s="274">
        <v>15</v>
      </c>
      <c r="B26" s="351" t="s">
        <v>924</v>
      </c>
      <c r="C26" s="1174"/>
      <c r="D26" s="1175"/>
      <c r="E26" s="1175"/>
      <c r="F26" s="1175"/>
      <c r="G26" s="1175"/>
      <c r="H26" s="1175"/>
      <c r="I26" s="1175"/>
      <c r="J26" s="1175"/>
      <c r="K26" s="1175"/>
      <c r="L26" s="1176"/>
    </row>
    <row r="27" spans="1:12" x14ac:dyDescent="0.2">
      <c r="A27" s="274">
        <v>16</v>
      </c>
      <c r="B27" s="351" t="s">
        <v>890</v>
      </c>
      <c r="C27" s="1174"/>
      <c r="D27" s="1175"/>
      <c r="E27" s="1175"/>
      <c r="F27" s="1175"/>
      <c r="G27" s="1175"/>
      <c r="H27" s="1175"/>
      <c r="I27" s="1175"/>
      <c r="J27" s="1175"/>
      <c r="K27" s="1175"/>
      <c r="L27" s="1176"/>
    </row>
    <row r="28" spans="1:12" x14ac:dyDescent="0.2">
      <c r="A28" s="274">
        <v>17</v>
      </c>
      <c r="B28" s="351" t="s">
        <v>891</v>
      </c>
      <c r="C28" s="1174"/>
      <c r="D28" s="1175"/>
      <c r="E28" s="1175"/>
      <c r="F28" s="1175"/>
      <c r="G28" s="1175"/>
      <c r="H28" s="1175"/>
      <c r="I28" s="1175"/>
      <c r="J28" s="1175"/>
      <c r="K28" s="1175"/>
      <c r="L28" s="1176"/>
    </row>
    <row r="29" spans="1:12" x14ac:dyDescent="0.2">
      <c r="A29" s="274">
        <v>18</v>
      </c>
      <c r="B29" s="351" t="s">
        <v>892</v>
      </c>
      <c r="C29" s="1174"/>
      <c r="D29" s="1175"/>
      <c r="E29" s="1175"/>
      <c r="F29" s="1175"/>
      <c r="G29" s="1175"/>
      <c r="H29" s="1175"/>
      <c r="I29" s="1175"/>
      <c r="J29" s="1175"/>
      <c r="K29" s="1175"/>
      <c r="L29" s="1176"/>
    </row>
    <row r="30" spans="1:12" x14ac:dyDescent="0.2">
      <c r="A30" s="274">
        <v>19</v>
      </c>
      <c r="B30" s="351" t="s">
        <v>893</v>
      </c>
      <c r="C30" s="1174"/>
      <c r="D30" s="1175"/>
      <c r="E30" s="1175"/>
      <c r="F30" s="1175"/>
      <c r="G30" s="1175"/>
      <c r="H30" s="1175"/>
      <c r="I30" s="1175"/>
      <c r="J30" s="1175"/>
      <c r="K30" s="1175"/>
      <c r="L30" s="1176"/>
    </row>
    <row r="31" spans="1:12" x14ac:dyDescent="0.2">
      <c r="A31" s="274">
        <v>20</v>
      </c>
      <c r="B31" s="351" t="s">
        <v>894</v>
      </c>
      <c r="C31" s="1174"/>
      <c r="D31" s="1175"/>
      <c r="E31" s="1175"/>
      <c r="F31" s="1175"/>
      <c r="G31" s="1175"/>
      <c r="H31" s="1175"/>
      <c r="I31" s="1175"/>
      <c r="J31" s="1175"/>
      <c r="K31" s="1175"/>
      <c r="L31" s="1176"/>
    </row>
    <row r="32" spans="1:12" x14ac:dyDescent="0.2">
      <c r="A32" s="274">
        <v>21</v>
      </c>
      <c r="B32" s="351" t="s">
        <v>925</v>
      </c>
      <c r="C32" s="1174"/>
      <c r="D32" s="1175"/>
      <c r="E32" s="1175"/>
      <c r="F32" s="1175"/>
      <c r="G32" s="1175"/>
      <c r="H32" s="1175"/>
      <c r="I32" s="1175"/>
      <c r="J32" s="1175"/>
      <c r="K32" s="1175"/>
      <c r="L32" s="1176"/>
    </row>
    <row r="33" spans="1:12" x14ac:dyDescent="0.2">
      <c r="A33" s="274">
        <v>22</v>
      </c>
      <c r="B33" s="351" t="s">
        <v>896</v>
      </c>
      <c r="C33" s="1174"/>
      <c r="D33" s="1175"/>
      <c r="E33" s="1175"/>
      <c r="F33" s="1175"/>
      <c r="G33" s="1175"/>
      <c r="H33" s="1175"/>
      <c r="I33" s="1175"/>
      <c r="J33" s="1175"/>
      <c r="K33" s="1175"/>
      <c r="L33" s="1176"/>
    </row>
    <row r="34" spans="1:12" x14ac:dyDescent="0.2">
      <c r="A34" s="274">
        <v>23</v>
      </c>
      <c r="B34" s="351" t="s">
        <v>926</v>
      </c>
      <c r="C34" s="1174"/>
      <c r="D34" s="1175"/>
      <c r="E34" s="1175"/>
      <c r="F34" s="1175"/>
      <c r="G34" s="1175"/>
      <c r="H34" s="1175"/>
      <c r="I34" s="1175"/>
      <c r="J34" s="1175"/>
      <c r="K34" s="1175"/>
      <c r="L34" s="1176"/>
    </row>
    <row r="35" spans="1:12" x14ac:dyDescent="0.2">
      <c r="A35" s="274">
        <v>24</v>
      </c>
      <c r="B35" s="351" t="s">
        <v>898</v>
      </c>
      <c r="C35" s="1174"/>
      <c r="D35" s="1175"/>
      <c r="E35" s="1175"/>
      <c r="F35" s="1175"/>
      <c r="G35" s="1175"/>
      <c r="H35" s="1175"/>
      <c r="I35" s="1175"/>
      <c r="J35" s="1175"/>
      <c r="K35" s="1175"/>
      <c r="L35" s="1176"/>
    </row>
    <row r="36" spans="1:12" x14ac:dyDescent="0.2">
      <c r="A36" s="1023" t="s">
        <v>15</v>
      </c>
      <c r="B36" s="1024"/>
      <c r="C36" s="1177"/>
      <c r="D36" s="1178"/>
      <c r="E36" s="1178"/>
      <c r="F36" s="1178"/>
      <c r="G36" s="1178"/>
      <c r="H36" s="1178"/>
      <c r="I36" s="1178"/>
      <c r="J36" s="1178"/>
      <c r="K36" s="1178"/>
      <c r="L36" s="1179"/>
    </row>
    <row r="37" spans="1:12" x14ac:dyDescent="0.2">
      <c r="A37" s="90"/>
      <c r="B37" s="114"/>
      <c r="C37" s="114"/>
      <c r="D37" s="273"/>
      <c r="E37" s="273"/>
      <c r="F37" s="273"/>
      <c r="G37" s="273"/>
      <c r="H37" s="273"/>
      <c r="I37" s="273"/>
      <c r="J37" s="273"/>
    </row>
    <row r="38" spans="1:12" x14ac:dyDescent="0.2">
      <c r="A38" s="90"/>
      <c r="B38" s="114"/>
      <c r="C38" s="114"/>
      <c r="D38" s="273"/>
      <c r="E38" s="273"/>
      <c r="F38" s="273"/>
      <c r="G38" s="273"/>
      <c r="H38" s="273"/>
      <c r="I38" s="273"/>
      <c r="J38" s="273"/>
    </row>
    <row r="39" spans="1:12" ht="15" x14ac:dyDescent="0.25">
      <c r="A39" s="931" t="s">
        <v>11</v>
      </c>
      <c r="B39" s="931"/>
      <c r="C39" s="672"/>
      <c r="D39" s="670"/>
      <c r="E39" s="670"/>
      <c r="F39" s="671"/>
      <c r="G39" s="671"/>
      <c r="H39" s="704"/>
      <c r="I39" s="704"/>
      <c r="J39" s="707"/>
      <c r="K39" s="757" t="s">
        <v>1107</v>
      </c>
      <c r="L39" s="757"/>
    </row>
    <row r="40" spans="1:12" ht="15.75" customHeight="1" x14ac:dyDescent="0.2">
      <c r="A40" s="671"/>
      <c r="B40" s="671"/>
      <c r="C40" s="671"/>
      <c r="D40" s="671"/>
      <c r="E40" s="671"/>
      <c r="F40" s="671"/>
      <c r="G40" s="671"/>
      <c r="H40" s="671"/>
      <c r="I40" s="671"/>
      <c r="J40" s="679" t="s">
        <v>1108</v>
      </c>
      <c r="K40" s="679"/>
      <c r="L40" s="679"/>
    </row>
    <row r="41" spans="1:12" ht="12.75" customHeight="1" x14ac:dyDescent="0.2">
      <c r="A41" s="671"/>
      <c r="B41" s="671"/>
      <c r="C41" s="671"/>
      <c r="D41" s="671"/>
      <c r="E41" s="671"/>
      <c r="F41" s="671"/>
      <c r="G41" s="671"/>
      <c r="H41" s="671"/>
      <c r="I41" s="671"/>
      <c r="J41" s="679" t="s">
        <v>1113</v>
      </c>
      <c r="K41" s="679"/>
      <c r="L41" s="679"/>
    </row>
    <row r="42" spans="1:12" ht="12.75" customHeight="1" x14ac:dyDescent="0.2">
      <c r="A42" s="567"/>
      <c r="B42" s="670"/>
      <c r="C42" s="670"/>
      <c r="D42" s="670"/>
      <c r="E42" s="670"/>
      <c r="F42" s="671"/>
      <c r="G42" s="671"/>
      <c r="H42" s="671"/>
      <c r="I42" s="671"/>
      <c r="J42" s="756" t="s">
        <v>1110</v>
      </c>
      <c r="K42" s="756"/>
      <c r="L42" s="756"/>
    </row>
    <row r="43" spans="1:12" ht="14.25" x14ac:dyDescent="0.2">
      <c r="A43" s="567"/>
      <c r="B43" s="567"/>
      <c r="C43" s="567"/>
      <c r="D43" s="584"/>
      <c r="E43" s="584"/>
      <c r="F43" s="567"/>
      <c r="G43" s="567"/>
      <c r="H43" s="165"/>
      <c r="J43" s="567"/>
      <c r="K43" s="567"/>
      <c r="L43" s="567"/>
    </row>
    <row r="47" spans="1:12" x14ac:dyDescent="0.2">
      <c r="A47" s="1180"/>
      <c r="B47" s="1180"/>
      <c r="C47" s="1180"/>
      <c r="D47" s="1180"/>
      <c r="E47" s="1180"/>
      <c r="F47" s="1180"/>
      <c r="G47" s="1180"/>
      <c r="H47" s="1180"/>
      <c r="I47" s="1180"/>
      <c r="J47" s="1180"/>
    </row>
    <row r="49" spans="1:10" x14ac:dyDescent="0.2">
      <c r="A49" s="1180"/>
      <c r="B49" s="1180"/>
      <c r="C49" s="1180"/>
      <c r="D49" s="1180"/>
      <c r="E49" s="1180"/>
      <c r="F49" s="1180"/>
      <c r="G49" s="1180"/>
      <c r="H49" s="1180"/>
      <c r="I49" s="1180"/>
      <c r="J49" s="1180"/>
    </row>
  </sheetData>
  <mergeCells count="19">
    <mergeCell ref="K9:L9"/>
    <mergeCell ref="A47:J47"/>
    <mergeCell ref="A36:B36"/>
    <mergeCell ref="C12:L36"/>
    <mergeCell ref="G9:H9"/>
    <mergeCell ref="I9:J9"/>
    <mergeCell ref="J42:L42"/>
    <mergeCell ref="K39:L39"/>
    <mergeCell ref="A39:B39"/>
    <mergeCell ref="A49:J49"/>
    <mergeCell ref="A9:A10"/>
    <mergeCell ref="B9:B10"/>
    <mergeCell ref="C9:D9"/>
    <mergeCell ref="E9:F9"/>
    <mergeCell ref="E1:I1"/>
    <mergeCell ref="A2:J2"/>
    <mergeCell ref="A3:J3"/>
    <mergeCell ref="A5:L5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="60" zoomScaleNormal="100" workbookViewId="0">
      <selection activeCell="M52" sqref="M52"/>
    </sheetView>
  </sheetViews>
  <sheetFormatPr defaultRowHeight="12.75" x14ac:dyDescent="0.2"/>
  <cols>
    <col min="1" max="1" width="6" style="1" customWidth="1"/>
    <col min="2" max="2" width="22.28515625" customWidth="1"/>
    <col min="3" max="4" width="19" customWidth="1"/>
    <col min="5" max="5" width="18.28515625" customWidth="1"/>
    <col min="9" max="9" width="12.7109375" bestFit="1" customWidth="1"/>
    <col min="10" max="13" width="14.42578125" style="153" customWidth="1"/>
  </cols>
  <sheetData>
    <row r="1" spans="1:13" ht="15" x14ac:dyDescent="0.2">
      <c r="A1" s="871" t="s">
        <v>985</v>
      </c>
      <c r="B1" s="871"/>
      <c r="C1" s="871"/>
      <c r="D1" s="871"/>
      <c r="E1" s="871"/>
    </row>
    <row r="3" spans="1:13" s="448" customFormat="1" ht="25.5" x14ac:dyDescent="0.2">
      <c r="A3" s="298" t="s">
        <v>1</v>
      </c>
      <c r="B3" s="298" t="s">
        <v>104</v>
      </c>
      <c r="C3" s="298" t="s">
        <v>986</v>
      </c>
      <c r="D3" s="298" t="s">
        <v>991</v>
      </c>
      <c r="E3" s="298" t="s">
        <v>987</v>
      </c>
    </row>
    <row r="4" spans="1:13" s="14" customFormat="1" x14ac:dyDescent="0.2">
      <c r="A4" s="3">
        <v>1</v>
      </c>
      <c r="B4" s="752" t="s">
        <v>988</v>
      </c>
      <c r="C4" s="752"/>
      <c r="D4" s="752"/>
      <c r="E4" s="752"/>
      <c r="J4" s="1"/>
      <c r="K4" s="1"/>
      <c r="L4" s="1"/>
      <c r="M4" s="1"/>
    </row>
    <row r="5" spans="1:13" x14ac:dyDescent="0.2">
      <c r="A5" s="3">
        <v>1.1000000000000001</v>
      </c>
      <c r="B5" s="18" t="s">
        <v>20</v>
      </c>
      <c r="C5" s="9">
        <v>24954</v>
      </c>
      <c r="D5" s="9">
        <v>21702</v>
      </c>
      <c r="E5" s="9">
        <v>21702</v>
      </c>
    </row>
    <row r="6" spans="1:13" x14ac:dyDescent="0.2">
      <c r="A6" s="3">
        <v>1.2</v>
      </c>
      <c r="B6" s="18" t="s">
        <v>21</v>
      </c>
      <c r="C6" s="9">
        <v>14620</v>
      </c>
      <c r="D6" s="9">
        <v>13935</v>
      </c>
      <c r="E6" s="9">
        <v>13935</v>
      </c>
    </row>
    <row r="7" spans="1:13" x14ac:dyDescent="0.2">
      <c r="A7" s="3">
        <v>1.3</v>
      </c>
      <c r="B7" s="18" t="s">
        <v>989</v>
      </c>
      <c r="C7" s="9">
        <v>148</v>
      </c>
      <c r="D7" s="9">
        <v>136</v>
      </c>
      <c r="E7" s="9">
        <v>136</v>
      </c>
    </row>
    <row r="8" spans="1:13" s="14" customFormat="1" x14ac:dyDescent="0.2">
      <c r="A8" s="733" t="s">
        <v>15</v>
      </c>
      <c r="B8" s="735"/>
      <c r="C8" s="28">
        <f>SUM(C5:C7)</f>
        <v>39722</v>
      </c>
      <c r="D8" s="28">
        <f>SUM(D5:D7)</f>
        <v>35773</v>
      </c>
      <c r="E8" s="28">
        <f>SUM(E5:E7)</f>
        <v>35773</v>
      </c>
      <c r="J8" s="1"/>
      <c r="K8" s="1"/>
      <c r="L8" s="1"/>
      <c r="M8" s="1"/>
    </row>
    <row r="9" spans="1:13" s="14" customFormat="1" x14ac:dyDescent="0.2">
      <c r="A9" s="3">
        <v>2</v>
      </c>
      <c r="B9" s="752" t="s">
        <v>990</v>
      </c>
      <c r="C9" s="752"/>
      <c r="D9" s="752"/>
      <c r="E9" s="752"/>
      <c r="J9" s="1"/>
      <c r="K9" s="1"/>
      <c r="L9" s="1"/>
      <c r="M9" s="1"/>
    </row>
    <row r="10" spans="1:13" x14ac:dyDescent="0.2">
      <c r="A10" s="3">
        <v>2.1</v>
      </c>
      <c r="B10" s="18" t="s">
        <v>20</v>
      </c>
      <c r="C10" s="9">
        <v>2251113</v>
      </c>
      <c r="D10" s="9">
        <v>1850631</v>
      </c>
      <c r="E10" s="9">
        <v>2294782</v>
      </c>
      <c r="G10">
        <v>3209959</v>
      </c>
      <c r="H10">
        <v>2705716</v>
      </c>
      <c r="I10">
        <f>H10/G10*100</f>
        <v>84.291294686318423</v>
      </c>
    </row>
    <row r="11" spans="1:13" x14ac:dyDescent="0.2">
      <c r="A11" s="3">
        <v>2.2000000000000002</v>
      </c>
      <c r="B11" s="18" t="s">
        <v>21</v>
      </c>
      <c r="C11" s="9">
        <v>954152</v>
      </c>
      <c r="D11" s="9">
        <v>852179</v>
      </c>
      <c r="E11" s="9">
        <v>997048</v>
      </c>
    </row>
    <row r="12" spans="1:13" x14ac:dyDescent="0.2">
      <c r="A12" s="3">
        <v>2.2999999999999998</v>
      </c>
      <c r="B12" s="18" t="s">
        <v>989</v>
      </c>
      <c r="C12" s="9">
        <v>4694</v>
      </c>
      <c r="D12" s="9">
        <v>2906</v>
      </c>
      <c r="E12" s="9">
        <v>3400</v>
      </c>
    </row>
    <row r="13" spans="1:13" s="14" customFormat="1" x14ac:dyDescent="0.2">
      <c r="A13" s="733" t="s">
        <v>15</v>
      </c>
      <c r="B13" s="735"/>
      <c r="C13" s="28">
        <f>SUM(C10:C12)</f>
        <v>3209959</v>
      </c>
      <c r="D13" s="28">
        <f>SUM(D10:D12)</f>
        <v>2705716</v>
      </c>
      <c r="E13" s="28">
        <f>SUM(E10:E12)</f>
        <v>3295230</v>
      </c>
      <c r="J13" s="1"/>
      <c r="K13" s="1"/>
      <c r="L13" s="1"/>
      <c r="M13" s="1"/>
    </row>
    <row r="14" spans="1:13" s="14" customFormat="1" x14ac:dyDescent="0.2">
      <c r="A14" s="3">
        <v>3</v>
      </c>
      <c r="B14" s="752" t="s">
        <v>992</v>
      </c>
      <c r="C14" s="752"/>
      <c r="D14" s="752"/>
      <c r="E14" s="752"/>
      <c r="J14" s="1"/>
      <c r="K14" s="1"/>
      <c r="L14" s="1"/>
      <c r="M14" s="1"/>
    </row>
    <row r="15" spans="1:13" x14ac:dyDescent="0.2">
      <c r="A15" s="3">
        <v>3.1</v>
      </c>
      <c r="B15" s="18" t="s">
        <v>20</v>
      </c>
      <c r="C15" s="9">
        <v>254</v>
      </c>
      <c r="D15" s="9">
        <v>250</v>
      </c>
      <c r="E15" s="9">
        <v>254</v>
      </c>
    </row>
    <row r="16" spans="1:13" x14ac:dyDescent="0.2">
      <c r="A16" s="3">
        <v>3.2</v>
      </c>
      <c r="B16" s="18" t="s">
        <v>21</v>
      </c>
      <c r="C16" s="9">
        <v>254</v>
      </c>
      <c r="D16" s="9">
        <v>250</v>
      </c>
      <c r="E16" s="9">
        <v>254</v>
      </c>
    </row>
    <row r="17" spans="1:16" x14ac:dyDescent="0.2">
      <c r="A17" s="3">
        <v>3.3</v>
      </c>
      <c r="B17" s="18" t="s">
        <v>989</v>
      </c>
      <c r="C17" s="9">
        <v>312</v>
      </c>
      <c r="D17" s="9">
        <v>256</v>
      </c>
      <c r="E17" s="9">
        <v>312</v>
      </c>
    </row>
    <row r="18" spans="1:16" s="14" customFormat="1" x14ac:dyDescent="0.2">
      <c r="A18" s="3">
        <v>4</v>
      </c>
      <c r="B18" s="752" t="s">
        <v>993</v>
      </c>
      <c r="C18" s="752"/>
      <c r="D18" s="752"/>
      <c r="E18" s="752"/>
      <c r="J18" s="1"/>
      <c r="K18" s="1"/>
      <c r="L18" s="1"/>
      <c r="M18" s="1"/>
    </row>
    <row r="19" spans="1:16" x14ac:dyDescent="0.2">
      <c r="A19" s="3">
        <v>4.0999999999999996</v>
      </c>
      <c r="B19" s="18" t="s">
        <v>20</v>
      </c>
      <c r="C19" s="1185">
        <v>81577</v>
      </c>
      <c r="D19" s="1185">
        <v>79768</v>
      </c>
      <c r="E19" s="1185">
        <v>79591</v>
      </c>
    </row>
    <row r="20" spans="1:16" x14ac:dyDescent="0.2">
      <c r="A20" s="3">
        <v>4.2</v>
      </c>
      <c r="B20" s="18" t="s">
        <v>21</v>
      </c>
      <c r="C20" s="1186"/>
      <c r="D20" s="1186"/>
      <c r="E20" s="1186"/>
    </row>
    <row r="21" spans="1:16" s="14" customFormat="1" x14ac:dyDescent="0.2">
      <c r="A21" s="3">
        <v>5</v>
      </c>
      <c r="B21" s="752" t="s">
        <v>994</v>
      </c>
      <c r="C21" s="752"/>
      <c r="D21" s="752"/>
      <c r="E21" s="752"/>
      <c r="J21" s="1"/>
      <c r="K21" s="1"/>
      <c r="L21" s="1"/>
      <c r="M21" s="1"/>
    </row>
    <row r="22" spans="1:16" x14ac:dyDescent="0.2">
      <c r="A22" s="3">
        <v>5.0999999999999996</v>
      </c>
      <c r="B22" s="18" t="s">
        <v>997</v>
      </c>
      <c r="C22" s="322" t="s">
        <v>1002</v>
      </c>
      <c r="D22" s="322" t="s">
        <v>1002</v>
      </c>
      <c r="E22" s="9">
        <v>1701348</v>
      </c>
    </row>
    <row r="23" spans="1:16" x14ac:dyDescent="0.2">
      <c r="A23" s="3">
        <v>5.2</v>
      </c>
      <c r="B23" s="18" t="s">
        <v>998</v>
      </c>
      <c r="C23" s="322" t="s">
        <v>1002</v>
      </c>
      <c r="D23" s="322" t="s">
        <v>1002</v>
      </c>
      <c r="E23" s="9">
        <v>744254</v>
      </c>
    </row>
    <row r="24" spans="1:16" x14ac:dyDescent="0.2">
      <c r="A24" s="3">
        <v>5.3</v>
      </c>
      <c r="B24" s="18" t="s">
        <v>992</v>
      </c>
      <c r="C24" s="322" t="s">
        <v>1002</v>
      </c>
      <c r="D24" s="322" t="s">
        <v>1002</v>
      </c>
      <c r="E24" s="9">
        <v>25</v>
      </c>
      <c r="J24" s="153" t="s">
        <v>1043</v>
      </c>
      <c r="K24" s="153" t="s">
        <v>1044</v>
      </c>
      <c r="L24" s="153" t="s">
        <v>1045</v>
      </c>
      <c r="M24" s="153" t="s">
        <v>1046</v>
      </c>
    </row>
    <row r="25" spans="1:16" s="14" customFormat="1" x14ac:dyDescent="0.2">
      <c r="A25" s="3">
        <v>6</v>
      </c>
      <c r="B25" s="752" t="s">
        <v>995</v>
      </c>
      <c r="C25" s="752"/>
      <c r="D25" s="752"/>
      <c r="E25" s="752"/>
      <c r="J25" s="1">
        <v>10000</v>
      </c>
      <c r="K25" s="1">
        <v>15000</v>
      </c>
      <c r="L25" s="1">
        <v>20000</v>
      </c>
      <c r="M25" s="1">
        <v>25000</v>
      </c>
    </row>
    <row r="26" spans="1:16" x14ac:dyDescent="0.2">
      <c r="A26" s="3">
        <v>6.1</v>
      </c>
      <c r="B26" s="18" t="s">
        <v>996</v>
      </c>
      <c r="C26" s="322" t="s">
        <v>1002</v>
      </c>
      <c r="D26" s="322" t="s">
        <v>1002</v>
      </c>
      <c r="E26" s="9">
        <v>1424</v>
      </c>
      <c r="I26" t="s">
        <v>1042</v>
      </c>
      <c r="J26" s="153">
        <v>8383</v>
      </c>
      <c r="K26" s="153">
        <v>14993</v>
      </c>
      <c r="L26" s="153">
        <v>5184</v>
      </c>
      <c r="M26" s="153">
        <v>3296</v>
      </c>
      <c r="N26">
        <f>SUM(J26:M26)</f>
        <v>31856</v>
      </c>
      <c r="O26" s="153">
        <v>31856</v>
      </c>
      <c r="P26">
        <f>O26-N26</f>
        <v>0</v>
      </c>
    </row>
    <row r="27" spans="1:16" x14ac:dyDescent="0.2">
      <c r="A27" s="3">
        <v>6.2</v>
      </c>
      <c r="B27" s="18" t="s">
        <v>1050</v>
      </c>
      <c r="C27" s="322" t="s">
        <v>1002</v>
      </c>
      <c r="D27" s="322" t="s">
        <v>1002</v>
      </c>
      <c r="E27" s="9">
        <v>0</v>
      </c>
    </row>
    <row r="28" spans="1:16" ht="25.5" x14ac:dyDescent="0.2">
      <c r="A28" s="3">
        <v>6.3</v>
      </c>
      <c r="B28" s="144" t="s">
        <v>999</v>
      </c>
      <c r="C28" s="322" t="s">
        <v>1002</v>
      </c>
      <c r="D28" s="341">
        <v>5276</v>
      </c>
      <c r="E28" s="478">
        <v>31856</v>
      </c>
      <c r="J28" s="496">
        <f>J26*J25/100000</f>
        <v>838.3</v>
      </c>
      <c r="K28" s="153">
        <f>K26*K25/100000</f>
        <v>2248.9499999999998</v>
      </c>
      <c r="L28" s="496">
        <f>L26*L25/100000</f>
        <v>1036.8</v>
      </c>
      <c r="M28" s="496">
        <f>M26*M25/100000</f>
        <v>824</v>
      </c>
      <c r="N28" s="425">
        <f>SUM(J28:M28)</f>
        <v>4948.05</v>
      </c>
    </row>
    <row r="29" spans="1:16" s="14" customFormat="1" x14ac:dyDescent="0.2">
      <c r="A29" s="3">
        <v>7</v>
      </c>
      <c r="B29" s="752" t="s">
        <v>1000</v>
      </c>
      <c r="C29" s="752"/>
      <c r="D29" s="752"/>
      <c r="E29" s="752"/>
      <c r="J29" s="498">
        <f>J26*6000/100000</f>
        <v>502.98</v>
      </c>
      <c r="K29" s="498">
        <f>K26*9000/100000</f>
        <v>1349.37</v>
      </c>
      <c r="L29" s="498">
        <f>L26*12000/100000</f>
        <v>622.08000000000004</v>
      </c>
      <c r="M29" s="498">
        <f>M26*15000/100000</f>
        <v>494.4</v>
      </c>
      <c r="N29" s="300">
        <f>SUM(J29:M29)</f>
        <v>2968.83</v>
      </c>
    </row>
    <row r="30" spans="1:16" x14ac:dyDescent="0.2">
      <c r="A30" s="3">
        <v>7.1</v>
      </c>
      <c r="B30" s="18" t="s">
        <v>1001</v>
      </c>
      <c r="C30" s="17" t="s">
        <v>1024</v>
      </c>
      <c r="D30" s="153"/>
      <c r="E30" s="17" t="s">
        <v>1040</v>
      </c>
    </row>
    <row r="31" spans="1:16" x14ac:dyDescent="0.2">
      <c r="A31" s="3">
        <v>7.2</v>
      </c>
      <c r="B31" s="18" t="s">
        <v>994</v>
      </c>
      <c r="C31" s="17" t="s">
        <v>1002</v>
      </c>
      <c r="D31" s="17" t="s">
        <v>1002</v>
      </c>
      <c r="E31" s="17" t="s">
        <v>1041</v>
      </c>
      <c r="J31" s="153">
        <f>348.75+25.71+29.69</f>
        <v>404.15</v>
      </c>
    </row>
    <row r="32" spans="1:16" x14ac:dyDescent="0.2">
      <c r="A32" s="3">
        <v>7.3</v>
      </c>
      <c r="B32" s="18" t="s">
        <v>1052</v>
      </c>
      <c r="C32" s="17" t="s">
        <v>1002</v>
      </c>
      <c r="D32" s="8"/>
      <c r="E32" s="151" t="s">
        <v>1049</v>
      </c>
    </row>
    <row r="33" spans="1:13" x14ac:dyDescent="0.2">
      <c r="A33" s="3">
        <v>7.4</v>
      </c>
      <c r="B33" s="18" t="s">
        <v>1053</v>
      </c>
      <c r="C33" s="17" t="s">
        <v>1002</v>
      </c>
      <c r="D33" s="17" t="s">
        <v>1002</v>
      </c>
      <c r="E33" s="151">
        <v>0</v>
      </c>
    </row>
    <row r="34" spans="1:13" ht="25.5" x14ac:dyDescent="0.2">
      <c r="A34" s="3">
        <v>7.5</v>
      </c>
      <c r="B34" s="144" t="s">
        <v>999</v>
      </c>
      <c r="C34" s="17" t="s">
        <v>1002</v>
      </c>
      <c r="D34" s="17" t="s">
        <v>1054</v>
      </c>
      <c r="E34" s="497" t="s">
        <v>1048</v>
      </c>
    </row>
    <row r="35" spans="1:13" s="14" customFormat="1" x14ac:dyDescent="0.2">
      <c r="A35" s="3">
        <v>7.6</v>
      </c>
      <c r="B35" s="28" t="s">
        <v>32</v>
      </c>
      <c r="C35" s="3" t="str">
        <f>C30</f>
        <v>Rs. 322.06 cr</v>
      </c>
      <c r="D35" s="3" t="str">
        <f>D34</f>
        <v>Rs. 2.638 cr.</v>
      </c>
      <c r="E35" s="3" t="s">
        <v>1051</v>
      </c>
      <c r="J35" s="1"/>
      <c r="K35" s="1"/>
      <c r="L35" s="1"/>
      <c r="M35" s="1"/>
    </row>
  </sheetData>
  <mergeCells count="13">
    <mergeCell ref="C19:C20"/>
    <mergeCell ref="A13:B13"/>
    <mergeCell ref="A8:B8"/>
    <mergeCell ref="D19:D20"/>
    <mergeCell ref="E19:E20"/>
    <mergeCell ref="A1:E1"/>
    <mergeCell ref="B29:E29"/>
    <mergeCell ref="B4:E4"/>
    <mergeCell ref="B9:E9"/>
    <mergeCell ref="B14:E14"/>
    <mergeCell ref="B18:E18"/>
    <mergeCell ref="B21:E21"/>
    <mergeCell ref="B25:E2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5" workbookViewId="0">
      <selection activeCell="M52" sqref="M52"/>
    </sheetView>
  </sheetViews>
  <sheetFormatPr defaultRowHeight="12.75" x14ac:dyDescent="0.2"/>
  <cols>
    <col min="1" max="1" width="9.140625" style="153" customWidth="1"/>
    <col min="2" max="2" width="15.7109375" customWidth="1"/>
    <col min="3" max="3" width="11.7109375" customWidth="1"/>
    <col min="4" max="4" width="13.5703125" style="313" customWidth="1"/>
    <col min="5" max="5" width="13.42578125" style="153" customWidth="1"/>
    <col min="6" max="6" width="10.28515625" customWidth="1"/>
    <col min="7" max="7" width="11.28515625" customWidth="1"/>
    <col min="8" max="8" width="10.7109375" customWidth="1"/>
    <col min="9" max="9" width="10.42578125" bestFit="1" customWidth="1"/>
    <col min="10" max="10" width="11.42578125" customWidth="1"/>
    <col min="11" max="11" width="11.28515625" customWidth="1"/>
  </cols>
  <sheetData>
    <row r="1" spans="1:12" ht="20.25" x14ac:dyDescent="0.3">
      <c r="A1" s="1189" t="s">
        <v>1025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</row>
    <row r="2" spans="1:12" s="14" customFormat="1" x14ac:dyDescent="0.2">
      <c r="A2" s="30" t="s">
        <v>1034</v>
      </c>
      <c r="D2" s="310"/>
      <c r="E2" s="1"/>
    </row>
    <row r="3" spans="1:12" s="448" customFormat="1" ht="27.75" customHeight="1" x14ac:dyDescent="0.2">
      <c r="A3" s="298" t="s">
        <v>1006</v>
      </c>
      <c r="B3" s="298" t="s">
        <v>104</v>
      </c>
      <c r="C3" s="298" t="s">
        <v>1030</v>
      </c>
      <c r="D3" s="298" t="s">
        <v>1031</v>
      </c>
      <c r="E3" s="298" t="s">
        <v>476</v>
      </c>
      <c r="F3" s="298" t="s">
        <v>1010</v>
      </c>
      <c r="G3" s="298" t="s">
        <v>1026</v>
      </c>
      <c r="H3" s="298" t="s">
        <v>1012</v>
      </c>
      <c r="I3" s="298" t="s">
        <v>1027</v>
      </c>
      <c r="J3" s="298" t="s">
        <v>1011</v>
      </c>
      <c r="K3" s="298" t="s">
        <v>122</v>
      </c>
      <c r="L3" s="298" t="s">
        <v>15</v>
      </c>
    </row>
    <row r="4" spans="1:12" s="14" customFormat="1" x14ac:dyDescent="0.2">
      <c r="A4" s="3">
        <v>1</v>
      </c>
      <c r="B4" s="17" t="s">
        <v>20</v>
      </c>
      <c r="C4" s="481">
        <v>2294782</v>
      </c>
      <c r="D4" s="1188">
        <v>79591</v>
      </c>
      <c r="E4" s="481">
        <v>254</v>
      </c>
      <c r="F4" s="483">
        <f>C4*E4*0.0001</f>
        <v>58287.462800000001</v>
      </c>
      <c r="G4" s="483">
        <f>C4*E4*2.61/100000</f>
        <v>15213.027790799999</v>
      </c>
      <c r="H4" s="483">
        <f>F4*1175/100000</f>
        <v>684.87768790000007</v>
      </c>
      <c r="I4" s="483">
        <f>F4*3000/100000</f>
        <v>1748.6238840000001</v>
      </c>
      <c r="J4" s="1187">
        <f>D4*10*600/100000</f>
        <v>4775.46</v>
      </c>
      <c r="K4" s="1191">
        <f>K7</f>
        <v>916.87063690710011</v>
      </c>
      <c r="L4" s="1190">
        <f>G7+H7+I7+J7+K7</f>
        <v>34875.0423742071</v>
      </c>
    </row>
    <row r="5" spans="1:12" x14ac:dyDescent="0.2">
      <c r="A5" s="8">
        <v>2</v>
      </c>
      <c r="B5" s="17" t="s">
        <v>21</v>
      </c>
      <c r="C5" s="481">
        <v>997048</v>
      </c>
      <c r="D5" s="1188"/>
      <c r="E5" s="481">
        <v>254</v>
      </c>
      <c r="F5" s="483">
        <f>C5*E5*0.00015</f>
        <v>37987.5288</v>
      </c>
      <c r="G5" s="483">
        <f>C5*E5*3.91/100000</f>
        <v>9902.0825072000007</v>
      </c>
      <c r="H5" s="483">
        <f>F5*1175/100000</f>
        <v>446.35346340000001</v>
      </c>
      <c r="I5" s="483">
        <f>F5*3000/100000</f>
        <v>1139.6258640000001</v>
      </c>
      <c r="J5" s="1187"/>
      <c r="K5" s="1187"/>
      <c r="L5" s="776"/>
    </row>
    <row r="6" spans="1:12" x14ac:dyDescent="0.2">
      <c r="A6" s="3">
        <v>3</v>
      </c>
      <c r="B6" s="17" t="s">
        <v>989</v>
      </c>
      <c r="C6" s="481">
        <v>3400</v>
      </c>
      <c r="D6" s="1188"/>
      <c r="E6" s="481">
        <v>312</v>
      </c>
      <c r="F6" s="483">
        <f>C6*E6*0.00015</f>
        <v>159.11999999999998</v>
      </c>
      <c r="G6" s="483">
        <f>C6*E6*3.91/100000</f>
        <v>41.47728</v>
      </c>
      <c r="H6" s="483">
        <f>F6*1175/100000</f>
        <v>1.8696599999999997</v>
      </c>
      <c r="I6" s="483">
        <f>F6*3000/100000</f>
        <v>4.7735999999999992</v>
      </c>
      <c r="J6" s="1187"/>
      <c r="K6" s="1187"/>
      <c r="L6" s="776"/>
    </row>
    <row r="7" spans="1:12" s="14" customFormat="1" x14ac:dyDescent="0.2">
      <c r="A7" s="725" t="s">
        <v>15</v>
      </c>
      <c r="B7" s="725"/>
      <c r="C7" s="479">
        <f>SUM(C4:C6)</f>
        <v>3295230</v>
      </c>
      <c r="D7" s="487"/>
      <c r="E7" s="479"/>
      <c r="F7" s="485">
        <f>SUM(F4:F6)</f>
        <v>96434.111600000004</v>
      </c>
      <c r="G7" s="485">
        <f>SUM(G4:G6)</f>
        <v>25156.587577999999</v>
      </c>
      <c r="H7" s="485">
        <f>SUM(H4:H6)</f>
        <v>1133.1008113</v>
      </c>
      <c r="I7" s="485">
        <f>SUM(I4:I6)</f>
        <v>2893.0233480000002</v>
      </c>
      <c r="J7" s="486">
        <v>4775.46</v>
      </c>
      <c r="K7" s="485">
        <f>2.7/100*(G7+H7+I7+J7)</f>
        <v>916.87063690710011</v>
      </c>
      <c r="L7" s="776"/>
    </row>
    <row r="9" spans="1:12" s="14" customFormat="1" x14ac:dyDescent="0.2">
      <c r="A9" s="30" t="s">
        <v>1035</v>
      </c>
      <c r="D9" s="310"/>
      <c r="E9" s="1"/>
    </row>
    <row r="10" spans="1:12" s="448" customFormat="1" ht="25.5" x14ac:dyDescent="0.2">
      <c r="A10" s="298" t="s">
        <v>1006</v>
      </c>
      <c r="B10" s="298" t="s">
        <v>104</v>
      </c>
      <c r="C10" s="298" t="s">
        <v>1030</v>
      </c>
      <c r="D10" s="298" t="s">
        <v>1031</v>
      </c>
      <c r="E10" s="298" t="s">
        <v>476</v>
      </c>
      <c r="F10" s="298" t="s">
        <v>1010</v>
      </c>
      <c r="G10" s="298" t="s">
        <v>1026</v>
      </c>
      <c r="H10" s="298" t="s">
        <v>1012</v>
      </c>
      <c r="I10" s="298" t="s">
        <v>1027</v>
      </c>
      <c r="J10" s="298" t="s">
        <v>1011</v>
      </c>
      <c r="K10" s="298" t="s">
        <v>122</v>
      </c>
      <c r="L10" s="298" t="s">
        <v>15</v>
      </c>
    </row>
    <row r="11" spans="1:12" s="14" customFormat="1" x14ac:dyDescent="0.2">
      <c r="A11" s="3">
        <v>1</v>
      </c>
      <c r="B11" s="17" t="s">
        <v>20</v>
      </c>
      <c r="C11" s="481">
        <v>2294782</v>
      </c>
      <c r="D11" s="1188">
        <v>79591</v>
      </c>
      <c r="E11" s="481">
        <v>254</v>
      </c>
      <c r="F11" s="484"/>
      <c r="G11" s="483">
        <f>C11*E11*1.74/100000</f>
        <v>10142.0185272</v>
      </c>
      <c r="H11" s="484"/>
      <c r="I11" s="484"/>
      <c r="J11" s="1187">
        <f>D11*400*10/100000</f>
        <v>3183.64</v>
      </c>
      <c r="K11" s="1192">
        <f>K14</f>
        <v>538.31909661840007</v>
      </c>
      <c r="L11" s="1190">
        <f>G14+J14+K14</f>
        <v>20476.0634158184</v>
      </c>
    </row>
    <row r="12" spans="1:12" x14ac:dyDescent="0.2">
      <c r="A12" s="8">
        <v>2</v>
      </c>
      <c r="B12" s="17" t="s">
        <v>21</v>
      </c>
      <c r="C12" s="481">
        <v>997048</v>
      </c>
      <c r="D12" s="1188"/>
      <c r="E12" s="481">
        <v>254</v>
      </c>
      <c r="F12" s="484"/>
      <c r="G12" s="483">
        <f>C12*E12*2.6/100000</f>
        <v>6584.5049920000001</v>
      </c>
      <c r="H12" s="484"/>
      <c r="I12" s="484"/>
      <c r="J12" s="1187"/>
      <c r="K12" s="1194"/>
      <c r="L12" s="776"/>
    </row>
    <row r="13" spans="1:12" x14ac:dyDescent="0.2">
      <c r="A13" s="3">
        <v>3</v>
      </c>
      <c r="B13" s="17" t="s">
        <v>989</v>
      </c>
      <c r="C13" s="481">
        <v>3400</v>
      </c>
      <c r="D13" s="1188"/>
      <c r="E13" s="481">
        <v>312</v>
      </c>
      <c r="F13" s="484"/>
      <c r="G13" s="483">
        <f>C13*E13*2.6/100000</f>
        <v>27.5808</v>
      </c>
      <c r="H13" s="484"/>
      <c r="I13" s="484"/>
      <c r="J13" s="1187"/>
      <c r="K13" s="1193"/>
      <c r="L13" s="776"/>
    </row>
    <row r="14" spans="1:12" s="14" customFormat="1" x14ac:dyDescent="0.2">
      <c r="A14" s="725" t="s">
        <v>15</v>
      </c>
      <c r="B14" s="725"/>
      <c r="C14" s="479">
        <f>SUM(C11:C13)</f>
        <v>3295230</v>
      </c>
      <c r="D14" s="487"/>
      <c r="E14" s="479"/>
      <c r="F14" s="486"/>
      <c r="G14" s="485">
        <f>SUM(G11:G13)</f>
        <v>16754.1043192</v>
      </c>
      <c r="H14" s="486"/>
      <c r="I14" s="486"/>
      <c r="J14" s="486">
        <f>J11</f>
        <v>3183.64</v>
      </c>
      <c r="K14" s="485">
        <f>2.7/100*(G14+J14)</f>
        <v>538.31909661840007</v>
      </c>
      <c r="L14" s="776"/>
    </row>
    <row r="17" spans="1:12" s="14" customFormat="1" x14ac:dyDescent="0.2">
      <c r="A17" s="30" t="s">
        <v>1028</v>
      </c>
      <c r="D17" s="310"/>
      <c r="E17" s="1"/>
    </row>
    <row r="18" spans="1:12" s="448" customFormat="1" ht="25.5" x14ac:dyDescent="0.2">
      <c r="A18" s="298" t="s">
        <v>1006</v>
      </c>
      <c r="B18" s="298" t="s">
        <v>104</v>
      </c>
      <c r="C18" s="298" t="s">
        <v>1030</v>
      </c>
      <c r="D18" s="298" t="s">
        <v>1031</v>
      </c>
      <c r="E18" s="298" t="s">
        <v>476</v>
      </c>
      <c r="F18" s="298" t="s">
        <v>1010</v>
      </c>
      <c r="G18" s="298" t="s">
        <v>1026</v>
      </c>
      <c r="H18" s="298" t="s">
        <v>1012</v>
      </c>
      <c r="I18" s="298" t="s">
        <v>1027</v>
      </c>
      <c r="J18" s="298" t="s">
        <v>1011</v>
      </c>
      <c r="K18" s="298" t="s">
        <v>122</v>
      </c>
      <c r="L18" s="298" t="s">
        <v>15</v>
      </c>
    </row>
    <row r="19" spans="1:12" s="14" customFormat="1" x14ac:dyDescent="0.2">
      <c r="A19" s="3">
        <v>1</v>
      </c>
      <c r="B19" s="17" t="s">
        <v>20</v>
      </c>
      <c r="C19" s="481">
        <v>1701348</v>
      </c>
      <c r="D19" s="1188">
        <v>61881</v>
      </c>
      <c r="E19" s="481">
        <v>25</v>
      </c>
      <c r="F19" s="483">
        <f>C19*E19*0.0001</f>
        <v>4253.37</v>
      </c>
      <c r="G19" s="483">
        <f>C19*E19*2.61/100000</f>
        <v>1110.1295700000001</v>
      </c>
      <c r="H19" s="482">
        <f>F19*1175/100000</f>
        <v>49.977097499999999</v>
      </c>
      <c r="I19" s="482">
        <f>F19*3000/100000</f>
        <v>127.6011</v>
      </c>
      <c r="J19" s="1187">
        <f>D19*1*600/100000</f>
        <v>371.286</v>
      </c>
      <c r="K19" s="1191">
        <f>K21</f>
        <v>67.581656623125014</v>
      </c>
      <c r="L19" s="1190">
        <f>G21+H21+I21+J21+K19</f>
        <v>2570.6059759981254</v>
      </c>
    </row>
    <row r="20" spans="1:12" x14ac:dyDescent="0.2">
      <c r="A20" s="8">
        <v>2</v>
      </c>
      <c r="B20" s="17" t="s">
        <v>21</v>
      </c>
      <c r="C20" s="481">
        <v>744254</v>
      </c>
      <c r="D20" s="1188"/>
      <c r="E20" s="481">
        <v>25</v>
      </c>
      <c r="F20" s="483">
        <f>C20*E20*0.00015</f>
        <v>2790.9524999999999</v>
      </c>
      <c r="G20" s="483">
        <f>C20*E20*3.91/100000</f>
        <v>727.508285</v>
      </c>
      <c r="H20" s="482">
        <f>F20*1175/100000</f>
        <v>32.793691875</v>
      </c>
      <c r="I20" s="482">
        <f>F20*3000/100000</f>
        <v>83.728575000000006</v>
      </c>
      <c r="J20" s="1187"/>
      <c r="K20" s="1191"/>
      <c r="L20" s="776"/>
    </row>
    <row r="21" spans="1:12" s="14" customFormat="1" x14ac:dyDescent="0.2">
      <c r="A21" s="725" t="s">
        <v>15</v>
      </c>
      <c r="B21" s="725"/>
      <c r="C21" s="479">
        <f>SUM(C19:C20)</f>
        <v>2445602</v>
      </c>
      <c r="D21" s="487"/>
      <c r="E21" s="479"/>
      <c r="F21" s="485">
        <f>SUM(F19:F20)</f>
        <v>7044.3225000000002</v>
      </c>
      <c r="G21" s="485">
        <f>SUM(G19:G20)</f>
        <v>1837.6378549999999</v>
      </c>
      <c r="H21" s="488">
        <f>SUM(H19:H20)</f>
        <v>82.770789374999993</v>
      </c>
      <c r="I21" s="488">
        <f>SUM(I19:I20)</f>
        <v>211.32967500000001</v>
      </c>
      <c r="J21" s="489">
        <f>J19</f>
        <v>371.286</v>
      </c>
      <c r="K21" s="490">
        <f>2.7/100*(J21+I21+H21+G21)</f>
        <v>67.581656623125014</v>
      </c>
      <c r="L21" s="776"/>
    </row>
    <row r="23" spans="1:12" s="14" customFormat="1" x14ac:dyDescent="0.2">
      <c r="A23" s="30" t="s">
        <v>1029</v>
      </c>
      <c r="D23" s="310"/>
      <c r="E23" s="1"/>
    </row>
    <row r="24" spans="1:12" s="448" customFormat="1" ht="25.5" x14ac:dyDescent="0.2">
      <c r="A24" s="298" t="s">
        <v>1006</v>
      </c>
      <c r="B24" s="298" t="s">
        <v>104</v>
      </c>
      <c r="C24" s="298" t="s">
        <v>1030</v>
      </c>
      <c r="D24" s="298" t="s">
        <v>1031</v>
      </c>
      <c r="E24" s="298" t="s">
        <v>476</v>
      </c>
      <c r="F24" s="298" t="s">
        <v>1010</v>
      </c>
      <c r="G24" s="298" t="s">
        <v>1026</v>
      </c>
      <c r="H24" s="298" t="s">
        <v>1012</v>
      </c>
      <c r="I24" s="298" t="s">
        <v>1027</v>
      </c>
      <c r="J24" s="298" t="s">
        <v>1011</v>
      </c>
      <c r="K24" s="298" t="s">
        <v>122</v>
      </c>
      <c r="L24" s="298" t="s">
        <v>15</v>
      </c>
    </row>
    <row r="25" spans="1:12" s="14" customFormat="1" x14ac:dyDescent="0.2">
      <c r="A25" s="3">
        <v>1</v>
      </c>
      <c r="B25" s="17" t="s">
        <v>20</v>
      </c>
      <c r="C25" s="481">
        <v>1701348</v>
      </c>
      <c r="D25" s="1188">
        <v>61881</v>
      </c>
      <c r="E25" s="481">
        <v>25</v>
      </c>
      <c r="F25" s="481"/>
      <c r="G25" s="483">
        <f>C25*E25*1.74/100000</f>
        <v>740.08637999999996</v>
      </c>
      <c r="H25" s="484"/>
      <c r="I25" s="484"/>
      <c r="J25" s="1187">
        <f>D25*1*400/100000</f>
        <v>247.524</v>
      </c>
      <c r="K25" s="1192">
        <f>K27</f>
        <v>39.727137960000007</v>
      </c>
      <c r="L25" s="1190">
        <f>G27+J27+K27</f>
        <v>1511.1026179600001</v>
      </c>
    </row>
    <row r="26" spans="1:12" x14ac:dyDescent="0.2">
      <c r="A26" s="8">
        <v>2</v>
      </c>
      <c r="B26" s="17" t="s">
        <v>21</v>
      </c>
      <c r="C26" s="481">
        <v>744254</v>
      </c>
      <c r="D26" s="1188"/>
      <c r="E26" s="481">
        <v>25</v>
      </c>
      <c r="F26" s="260"/>
      <c r="G26" s="483">
        <f>C26*E26*2.6/100000</f>
        <v>483.76510000000002</v>
      </c>
      <c r="H26" s="484"/>
      <c r="I26" s="484"/>
      <c r="J26" s="1187"/>
      <c r="K26" s="1193"/>
      <c r="L26" s="776"/>
    </row>
    <row r="27" spans="1:12" s="14" customFormat="1" x14ac:dyDescent="0.2">
      <c r="A27" s="725" t="s">
        <v>15</v>
      </c>
      <c r="B27" s="725"/>
      <c r="C27" s="479">
        <f>SUM(C25:C26)</f>
        <v>2445602</v>
      </c>
      <c r="D27" s="487"/>
      <c r="E27" s="479"/>
      <c r="F27" s="480"/>
      <c r="G27" s="485">
        <f>SUM(G25:G26)</f>
        <v>1223.85148</v>
      </c>
      <c r="H27" s="486"/>
      <c r="I27" s="486"/>
      <c r="J27" s="489">
        <f>J25</f>
        <v>247.524</v>
      </c>
      <c r="K27" s="485">
        <f>2.7/100*(G27+J27)</f>
        <v>39.727137960000007</v>
      </c>
      <c r="L27" s="776"/>
    </row>
    <row r="29" spans="1:12" x14ac:dyDescent="0.2">
      <c r="A29" s="30" t="s">
        <v>1032</v>
      </c>
    </row>
    <row r="30" spans="1:12" s="14" customFormat="1" x14ac:dyDescent="0.2">
      <c r="A30" s="30"/>
      <c r="D30" s="310"/>
      <c r="E30" s="1"/>
    </row>
    <row r="31" spans="1:12" s="448" customFormat="1" ht="25.5" x14ac:dyDescent="0.2">
      <c r="A31" s="298" t="s">
        <v>1006</v>
      </c>
      <c r="B31" s="298" t="s">
        <v>104</v>
      </c>
      <c r="C31" s="298" t="s">
        <v>1026</v>
      </c>
      <c r="D31" s="298" t="s">
        <v>1012</v>
      </c>
      <c r="E31" s="298" t="s">
        <v>1027</v>
      </c>
      <c r="F31" s="298" t="s">
        <v>1011</v>
      </c>
      <c r="G31" s="298" t="s">
        <v>122</v>
      </c>
      <c r="H31" s="298" t="s">
        <v>32</v>
      </c>
    </row>
    <row r="32" spans="1:12" s="14" customFormat="1" x14ac:dyDescent="0.2">
      <c r="A32" s="3">
        <v>1</v>
      </c>
      <c r="B32" s="17" t="s">
        <v>20</v>
      </c>
      <c r="C32" s="492">
        <f>G4+G11</f>
        <v>25355.046318000001</v>
      </c>
      <c r="D32" s="492">
        <f>H4+H11</f>
        <v>684.87768790000007</v>
      </c>
      <c r="E32" s="492">
        <f>I4+I11</f>
        <v>1748.6238840000001</v>
      </c>
      <c r="F32" s="1195">
        <f>J4+J11</f>
        <v>7959.1</v>
      </c>
      <c r="G32" s="1195">
        <f>K4+K11</f>
        <v>1455.1897335255003</v>
      </c>
      <c r="H32" s="1196">
        <f>C35+D35+E35+F35+G32</f>
        <v>55351.105790025504</v>
      </c>
    </row>
    <row r="33" spans="1:8" x14ac:dyDescent="0.2">
      <c r="A33" s="8">
        <v>2</v>
      </c>
      <c r="B33" s="17" t="s">
        <v>21</v>
      </c>
      <c r="C33" s="492">
        <f t="shared" ref="C33:E34" si="0">G5+G12</f>
        <v>16486.587499200003</v>
      </c>
      <c r="D33" s="492">
        <f t="shared" si="0"/>
        <v>446.35346340000001</v>
      </c>
      <c r="E33" s="492">
        <f t="shared" si="0"/>
        <v>1139.6258640000001</v>
      </c>
      <c r="F33" s="1195"/>
      <c r="G33" s="1195"/>
      <c r="H33" s="1197"/>
    </row>
    <row r="34" spans="1:8" x14ac:dyDescent="0.2">
      <c r="A34" s="3">
        <v>3</v>
      </c>
      <c r="B34" s="17" t="s">
        <v>989</v>
      </c>
      <c r="C34" s="492">
        <f t="shared" si="0"/>
        <v>69.058080000000004</v>
      </c>
      <c r="D34" s="492">
        <f t="shared" si="0"/>
        <v>1.8696599999999997</v>
      </c>
      <c r="E34" s="492">
        <f t="shared" si="0"/>
        <v>4.7735999999999992</v>
      </c>
      <c r="F34" s="1195"/>
      <c r="G34" s="1195"/>
      <c r="H34" s="1197"/>
    </row>
    <row r="35" spans="1:8" s="14" customFormat="1" x14ac:dyDescent="0.2">
      <c r="A35" s="725" t="s">
        <v>15</v>
      </c>
      <c r="B35" s="725"/>
      <c r="C35" s="491">
        <f>SUM(C32:C34)</f>
        <v>41910.691897200006</v>
      </c>
      <c r="D35" s="491">
        <f>SUM(D32:D34)</f>
        <v>1133.1008113</v>
      </c>
      <c r="E35" s="491">
        <f>SUM(E32:E34)</f>
        <v>2893.0233480000002</v>
      </c>
      <c r="F35" s="491">
        <f>SUM(F32)</f>
        <v>7959.1</v>
      </c>
      <c r="G35" s="491">
        <f>SUM(G32)</f>
        <v>1455.1897335255003</v>
      </c>
      <c r="H35" s="1198"/>
    </row>
    <row r="37" spans="1:8" x14ac:dyDescent="0.2">
      <c r="A37" s="30" t="s">
        <v>1033</v>
      </c>
    </row>
    <row r="38" spans="1:8" s="14" customFormat="1" x14ac:dyDescent="0.2">
      <c r="A38" s="30"/>
      <c r="D38" s="310"/>
      <c r="E38" s="1"/>
    </row>
    <row r="39" spans="1:8" s="448" customFormat="1" ht="25.5" x14ac:dyDescent="0.2">
      <c r="A39" s="298" t="s">
        <v>1006</v>
      </c>
      <c r="B39" s="298" t="s">
        <v>104</v>
      </c>
      <c r="C39" s="298" t="s">
        <v>1026</v>
      </c>
      <c r="D39" s="298" t="s">
        <v>1012</v>
      </c>
      <c r="E39" s="298" t="s">
        <v>1027</v>
      </c>
      <c r="F39" s="298" t="s">
        <v>1011</v>
      </c>
      <c r="G39" s="298" t="s">
        <v>122</v>
      </c>
      <c r="H39" s="298" t="s">
        <v>32</v>
      </c>
    </row>
    <row r="40" spans="1:8" s="14" customFormat="1" x14ac:dyDescent="0.2">
      <c r="A40" s="3">
        <v>1</v>
      </c>
      <c r="B40" s="17" t="s">
        <v>20</v>
      </c>
      <c r="C40" s="492">
        <f>G19+G25</f>
        <v>1850.21595</v>
      </c>
      <c r="D40" s="492">
        <f>H19+H25</f>
        <v>49.977097499999999</v>
      </c>
      <c r="E40" s="492">
        <f>I19+I25</f>
        <v>127.6011</v>
      </c>
      <c r="F40" s="1195">
        <f>J19+J25</f>
        <v>618.80999999999995</v>
      </c>
      <c r="G40" s="1195">
        <f>K19+K25</f>
        <v>107.30879458312502</v>
      </c>
      <c r="H40" s="1196">
        <f>C42+D42+E42+F42+G40</f>
        <v>4081.7085939581248</v>
      </c>
    </row>
    <row r="41" spans="1:8" x14ac:dyDescent="0.2">
      <c r="A41" s="8">
        <v>2</v>
      </c>
      <c r="B41" s="17" t="s">
        <v>21</v>
      </c>
      <c r="C41" s="492">
        <f>G20+G26</f>
        <v>1211.273385</v>
      </c>
      <c r="D41" s="492">
        <f>H20+H26</f>
        <v>32.793691875</v>
      </c>
      <c r="E41" s="492">
        <f>I20+I26</f>
        <v>83.728575000000006</v>
      </c>
      <c r="F41" s="1195"/>
      <c r="G41" s="1195"/>
      <c r="H41" s="1197"/>
    </row>
    <row r="42" spans="1:8" s="15" customFormat="1" x14ac:dyDescent="0.2">
      <c r="A42" s="784" t="s">
        <v>15</v>
      </c>
      <c r="B42" s="784"/>
      <c r="C42" s="492">
        <f>SUM(C40:C41)</f>
        <v>3061.4893350000002</v>
      </c>
      <c r="D42" s="492">
        <f>SUM(D40:D41)</f>
        <v>82.770789374999993</v>
      </c>
      <c r="E42" s="492">
        <f>SUM(E40:E41)</f>
        <v>211.32967500000001</v>
      </c>
      <c r="F42" s="492">
        <f>SUM(F40:F41)</f>
        <v>618.80999999999995</v>
      </c>
      <c r="G42" s="492">
        <f>SUM(G40:G41)</f>
        <v>107.30879458312502</v>
      </c>
      <c r="H42" s="1198"/>
    </row>
    <row r="44" spans="1:8" s="14" customFormat="1" x14ac:dyDescent="0.2">
      <c r="A44" s="1"/>
      <c r="D44" s="310"/>
      <c r="E44" s="1"/>
    </row>
    <row r="46" spans="1:8" s="1" customFormat="1" x14ac:dyDescent="0.2">
      <c r="A46" s="298" t="s">
        <v>1006</v>
      </c>
      <c r="B46" s="298" t="s">
        <v>104</v>
      </c>
      <c r="C46" s="3" t="s">
        <v>1055</v>
      </c>
      <c r="D46" s="159" t="s">
        <v>1056</v>
      </c>
      <c r="E46" s="3" t="s">
        <v>15</v>
      </c>
    </row>
    <row r="47" spans="1:8" x14ac:dyDescent="0.2">
      <c r="A47" s="3">
        <v>1</v>
      </c>
      <c r="B47" s="17" t="s">
        <v>1015</v>
      </c>
      <c r="C47" s="515">
        <f>L4+L19</f>
        <v>37445.648350205229</v>
      </c>
      <c r="D47" s="535">
        <v>11183.325999999999</v>
      </c>
      <c r="E47" s="536">
        <f>SUM(C47:D47)</f>
        <v>48628.97435020523</v>
      </c>
    </row>
    <row r="48" spans="1:8" x14ac:dyDescent="0.2">
      <c r="A48" s="8">
        <v>2</v>
      </c>
      <c r="B48" s="17" t="s">
        <v>96</v>
      </c>
      <c r="C48" s="515">
        <f>L11+L25</f>
        <v>21987.166033778401</v>
      </c>
      <c r="D48" s="535">
        <v>7455.55</v>
      </c>
      <c r="E48" s="536">
        <f>SUM(C48:D48)</f>
        <v>29442.716033778401</v>
      </c>
    </row>
    <row r="49" spans="1:5" s="14" customFormat="1" x14ac:dyDescent="0.2">
      <c r="A49" s="733" t="s">
        <v>15</v>
      </c>
      <c r="B49" s="735"/>
      <c r="C49" s="349">
        <f>SUM(C47:C48)</f>
        <v>59432.814383983627</v>
      </c>
      <c r="D49" s="491">
        <f>SUM(D47:D48)</f>
        <v>18638.876</v>
      </c>
      <c r="E49" s="344">
        <f>SUM(C49:D49)</f>
        <v>78071.69038398363</v>
      </c>
    </row>
  </sheetData>
  <mergeCells count="30">
    <mergeCell ref="J19:J20"/>
    <mergeCell ref="F32:F34"/>
    <mergeCell ref="F40:F41"/>
    <mergeCell ref="A21:B21"/>
    <mergeCell ref="G40:G41"/>
    <mergeCell ref="H40:H42"/>
    <mergeCell ref="A27:B27"/>
    <mergeCell ref="D25:D26"/>
    <mergeCell ref="G32:G34"/>
    <mergeCell ref="H32:H35"/>
    <mergeCell ref="D11:D13"/>
    <mergeCell ref="J11:J13"/>
    <mergeCell ref="L4:L7"/>
    <mergeCell ref="L11:L14"/>
    <mergeCell ref="L19:L21"/>
    <mergeCell ref="L25:L27"/>
    <mergeCell ref="K4:K6"/>
    <mergeCell ref="K25:K26"/>
    <mergeCell ref="K11:K13"/>
    <mergeCell ref="K19:K20"/>
    <mergeCell ref="J25:J26"/>
    <mergeCell ref="D19:D20"/>
    <mergeCell ref="A49:B49"/>
    <mergeCell ref="A1:L1"/>
    <mergeCell ref="A7:B7"/>
    <mergeCell ref="A14:B14"/>
    <mergeCell ref="A35:B35"/>
    <mergeCell ref="A42:B42"/>
    <mergeCell ref="J4:J6"/>
    <mergeCell ref="D4:D6"/>
  </mergeCells>
  <pageMargins left="0.7" right="0.7" top="0.75" bottom="0.75" header="0.3" footer="0.3"/>
  <pageSetup paperSize="9" scale="8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Normal="90" zoomScaleSheetLayoutView="100" workbookViewId="0">
      <selection activeCell="M52" sqref="M52"/>
    </sheetView>
  </sheetViews>
  <sheetFormatPr defaultRowHeight="12.75" x14ac:dyDescent="0.2"/>
  <cols>
    <col min="1" max="1" width="10.140625" customWidth="1"/>
    <col min="2" max="2" width="24.5703125" bestFit="1" customWidth="1"/>
    <col min="3" max="3" width="17.28515625" customWidth="1"/>
    <col min="4" max="4" width="16.28515625" customWidth="1"/>
    <col min="5" max="5" width="19.85546875" customWidth="1"/>
  </cols>
  <sheetData>
    <row r="1" spans="1:5" ht="18" x14ac:dyDescent="0.35">
      <c r="A1" s="867" t="s">
        <v>0</v>
      </c>
      <c r="B1" s="867"/>
      <c r="C1" s="867"/>
      <c r="D1" s="867"/>
      <c r="E1" s="867"/>
    </row>
    <row r="2" spans="1:5" ht="21" x14ac:dyDescent="0.35">
      <c r="A2" s="868"/>
      <c r="B2" s="868"/>
      <c r="C2" s="868"/>
      <c r="D2" s="868"/>
      <c r="E2" s="868"/>
    </row>
    <row r="3" spans="1:5" ht="15" x14ac:dyDescent="0.3">
      <c r="A3" s="180"/>
      <c r="B3" s="180"/>
    </row>
    <row r="4" spans="1:5" ht="18" customHeight="1" x14ac:dyDescent="0.35">
      <c r="A4" s="869" t="s">
        <v>1039</v>
      </c>
      <c r="B4" s="869"/>
      <c r="C4" s="869"/>
      <c r="D4" s="869"/>
      <c r="E4" s="869"/>
    </row>
    <row r="5" spans="1:5" ht="15" x14ac:dyDescent="0.3">
      <c r="A5" s="181"/>
      <c r="B5" s="14" t="s">
        <v>874</v>
      </c>
    </row>
    <row r="6" spans="1:5" ht="15" x14ac:dyDescent="0.3">
      <c r="A6" s="181"/>
      <c r="B6" s="181"/>
    </row>
    <row r="7" spans="1:5" s="153" customFormat="1" ht="59.25" customHeight="1" x14ac:dyDescent="0.2">
      <c r="A7" s="361" t="s">
        <v>1</v>
      </c>
      <c r="B7" s="361" t="s">
        <v>2</v>
      </c>
      <c r="C7" s="494" t="s">
        <v>1037</v>
      </c>
      <c r="D7" s="494" t="s">
        <v>1036</v>
      </c>
      <c r="E7" s="494" t="s">
        <v>1038</v>
      </c>
    </row>
    <row r="8" spans="1:5" s="178" customFormat="1" ht="15" x14ac:dyDescent="0.25">
      <c r="A8" s="183" t="s">
        <v>253</v>
      </c>
      <c r="B8" s="184" t="s">
        <v>254</v>
      </c>
      <c r="C8" s="183" t="s">
        <v>255</v>
      </c>
      <c r="D8" s="183" t="s">
        <v>256</v>
      </c>
      <c r="E8" s="183" t="s">
        <v>257</v>
      </c>
    </row>
    <row r="9" spans="1:5" x14ac:dyDescent="0.2">
      <c r="A9" s="8">
        <v>1</v>
      </c>
      <c r="B9" s="184" t="s">
        <v>875</v>
      </c>
      <c r="C9" s="493">
        <f>T5_PLAN_vs_PRFM!C12+'T5A_PLAN_vs_PRFM '!C12+'T5B_PLAN_vs_PRFM  (2)'!C12</f>
        <v>2477</v>
      </c>
      <c r="D9" s="184">
        <f>'AT3A_cvrg(Insti)_PY'!L12+'AT3B_cvrg(Insti)_UPY '!L11+'AT3C_cvrg(Insti)_UPY '!L11</f>
        <v>2177</v>
      </c>
      <c r="E9" s="493">
        <f>C9-D9</f>
        <v>300</v>
      </c>
    </row>
    <row r="10" spans="1:5" x14ac:dyDescent="0.2">
      <c r="A10" s="8">
        <v>2</v>
      </c>
      <c r="B10" s="184" t="s">
        <v>876</v>
      </c>
      <c r="C10" s="493">
        <f>T5_PLAN_vs_PRFM!C13+'T5A_PLAN_vs_PRFM '!C13+'T5B_PLAN_vs_PRFM  (2)'!C13</f>
        <v>996</v>
      </c>
      <c r="D10" s="184">
        <f>'AT3A_cvrg(Insti)_PY'!L13+'AT3B_cvrg(Insti)_UPY '!L12+'AT3C_cvrg(Insti)_UPY '!L12</f>
        <v>868</v>
      </c>
      <c r="E10" s="493">
        <f t="shared" ref="E10:E32" si="0">C10-D10</f>
        <v>128</v>
      </c>
    </row>
    <row r="11" spans="1:5" x14ac:dyDescent="0.2">
      <c r="A11" s="8">
        <v>3</v>
      </c>
      <c r="B11" s="184" t="s">
        <v>877</v>
      </c>
      <c r="C11" s="493">
        <f>T5_PLAN_vs_PRFM!C14+'T5A_PLAN_vs_PRFM '!C14+'T5B_PLAN_vs_PRFM  (2)'!C14</f>
        <v>580</v>
      </c>
      <c r="D11" s="184">
        <f>'AT3A_cvrg(Insti)_PY'!L14+'AT3B_cvrg(Insti)_UPY '!L13+'AT3C_cvrg(Insti)_UPY '!L13</f>
        <v>491</v>
      </c>
      <c r="E11" s="493">
        <f t="shared" si="0"/>
        <v>89</v>
      </c>
    </row>
    <row r="12" spans="1:5" x14ac:dyDescent="0.2">
      <c r="A12" s="8">
        <v>4</v>
      </c>
      <c r="B12" s="184" t="s">
        <v>878</v>
      </c>
      <c r="C12" s="493">
        <f>T5_PLAN_vs_PRFM!C15+'T5A_PLAN_vs_PRFM '!C15+'T5B_PLAN_vs_PRFM  (2)'!C15</f>
        <v>1731</v>
      </c>
      <c r="D12" s="184">
        <f>'AT3A_cvrg(Insti)_PY'!L15+'AT3B_cvrg(Insti)_UPY '!L14+'AT3C_cvrg(Insti)_UPY '!L14</f>
        <v>1519</v>
      </c>
      <c r="E12" s="493">
        <f t="shared" si="0"/>
        <v>212</v>
      </c>
    </row>
    <row r="13" spans="1:5" x14ac:dyDescent="0.2">
      <c r="A13" s="8">
        <v>5</v>
      </c>
      <c r="B13" s="184" t="s">
        <v>879</v>
      </c>
      <c r="C13" s="493">
        <f>T5_PLAN_vs_PRFM!C16+'T5A_PLAN_vs_PRFM '!C16+'T5B_PLAN_vs_PRFM  (2)'!C16</f>
        <v>1078</v>
      </c>
      <c r="D13" s="184">
        <f>'AT3A_cvrg(Insti)_PY'!L16+'AT3B_cvrg(Insti)_UPY '!L15+'AT3C_cvrg(Insti)_UPY '!L15</f>
        <v>968</v>
      </c>
      <c r="E13" s="493">
        <f t="shared" si="0"/>
        <v>110</v>
      </c>
    </row>
    <row r="14" spans="1:5" x14ac:dyDescent="0.2">
      <c r="A14" s="8">
        <v>6</v>
      </c>
      <c r="B14" s="184" t="s">
        <v>880</v>
      </c>
      <c r="C14" s="493">
        <f>T5_PLAN_vs_PRFM!C17+'T5A_PLAN_vs_PRFM '!C17+'T5B_PLAN_vs_PRFM  (2)'!C17</f>
        <v>1954</v>
      </c>
      <c r="D14" s="184">
        <f>'AT3A_cvrg(Insti)_PY'!L17+'AT3B_cvrg(Insti)_UPY '!L16+'AT3C_cvrg(Insti)_UPY '!L16</f>
        <v>1620</v>
      </c>
      <c r="E14" s="493">
        <f t="shared" si="0"/>
        <v>334</v>
      </c>
    </row>
    <row r="15" spans="1:5" x14ac:dyDescent="0.2">
      <c r="A15" s="8">
        <v>7</v>
      </c>
      <c r="B15" s="184" t="s">
        <v>881</v>
      </c>
      <c r="C15" s="493">
        <f>T5_PLAN_vs_PRFM!C18+'T5A_PLAN_vs_PRFM '!C18+'T5B_PLAN_vs_PRFM  (2)'!C18</f>
        <v>1660</v>
      </c>
      <c r="D15" s="184">
        <f>'AT3A_cvrg(Insti)_PY'!L18+'AT3B_cvrg(Insti)_UPY '!L17+'AT3C_cvrg(Insti)_UPY '!L17</f>
        <v>1381</v>
      </c>
      <c r="E15" s="493">
        <f t="shared" si="0"/>
        <v>279</v>
      </c>
    </row>
    <row r="16" spans="1:5" x14ac:dyDescent="0.2">
      <c r="A16" s="8">
        <v>8</v>
      </c>
      <c r="B16" s="184" t="s">
        <v>882</v>
      </c>
      <c r="C16" s="493">
        <f>T5_PLAN_vs_PRFM!C19+'T5A_PLAN_vs_PRFM '!C19+'T5B_PLAN_vs_PRFM  (2)'!C19</f>
        <v>2252</v>
      </c>
      <c r="D16" s="184">
        <f>'AT3A_cvrg(Insti)_PY'!L19+'AT3B_cvrg(Insti)_UPY '!L18+'AT3C_cvrg(Insti)_UPY '!L18</f>
        <v>2066</v>
      </c>
      <c r="E16" s="493">
        <f t="shared" si="0"/>
        <v>186</v>
      </c>
    </row>
    <row r="17" spans="1:5" x14ac:dyDescent="0.2">
      <c r="A17" s="8">
        <v>9</v>
      </c>
      <c r="B17" s="184" t="s">
        <v>883</v>
      </c>
      <c r="C17" s="493">
        <f>T5_PLAN_vs_PRFM!C20+'T5A_PLAN_vs_PRFM '!C20+'T5B_PLAN_vs_PRFM  (2)'!C20</f>
        <v>2574</v>
      </c>
      <c r="D17" s="184">
        <f>'AT3A_cvrg(Insti)_PY'!L20+'AT3B_cvrg(Insti)_UPY '!L19+'AT3C_cvrg(Insti)_UPY '!L19</f>
        <v>2499</v>
      </c>
      <c r="E17" s="493">
        <f t="shared" si="0"/>
        <v>75</v>
      </c>
    </row>
    <row r="18" spans="1:5" x14ac:dyDescent="0.2">
      <c r="A18" s="8">
        <v>10</v>
      </c>
      <c r="B18" s="184" t="s">
        <v>884</v>
      </c>
      <c r="C18" s="493">
        <f>T5_PLAN_vs_PRFM!C21+'T5A_PLAN_vs_PRFM '!C21+'T5B_PLAN_vs_PRFM  (2)'!C21</f>
        <v>1175</v>
      </c>
      <c r="D18" s="184">
        <f>'AT3A_cvrg(Insti)_PY'!L21+'AT3B_cvrg(Insti)_UPY '!L20+'AT3C_cvrg(Insti)_UPY '!L20</f>
        <v>1037</v>
      </c>
      <c r="E18" s="493">
        <f t="shared" si="0"/>
        <v>138</v>
      </c>
    </row>
    <row r="19" spans="1:5" x14ac:dyDescent="0.2">
      <c r="A19" s="8">
        <v>11</v>
      </c>
      <c r="B19" s="184" t="s">
        <v>885</v>
      </c>
      <c r="C19" s="493">
        <f>T5_PLAN_vs_PRFM!C22+'T5A_PLAN_vs_PRFM '!C22+'T5B_PLAN_vs_PRFM  (2)'!C22</f>
        <v>1533</v>
      </c>
      <c r="D19" s="184">
        <f>'AT3A_cvrg(Insti)_PY'!L22+'AT3B_cvrg(Insti)_UPY '!L21+'AT3C_cvrg(Insti)_UPY '!L21</f>
        <v>1420</v>
      </c>
      <c r="E19" s="493">
        <f t="shared" si="0"/>
        <v>113</v>
      </c>
    </row>
    <row r="20" spans="1:5" x14ac:dyDescent="0.2">
      <c r="A20" s="8">
        <v>12</v>
      </c>
      <c r="B20" s="241" t="s">
        <v>886</v>
      </c>
      <c r="C20" s="493">
        <f>T5_PLAN_vs_PRFM!C23+'T5A_PLAN_vs_PRFM '!C23+'T5B_PLAN_vs_PRFM  (2)'!C23</f>
        <v>1597</v>
      </c>
      <c r="D20" s="184">
        <f>'AT3A_cvrg(Insti)_PY'!L23+'AT3B_cvrg(Insti)_UPY '!L22+'AT3C_cvrg(Insti)_UPY '!L22</f>
        <v>1479</v>
      </c>
      <c r="E20" s="493">
        <f t="shared" si="0"/>
        <v>118</v>
      </c>
    </row>
    <row r="21" spans="1:5" x14ac:dyDescent="0.2">
      <c r="A21" s="8">
        <v>13</v>
      </c>
      <c r="B21" s="184" t="s">
        <v>887</v>
      </c>
      <c r="C21" s="493">
        <f>T5_PLAN_vs_PRFM!C24+'T5A_PLAN_vs_PRFM '!C24+'T5B_PLAN_vs_PRFM  (2)'!C24</f>
        <v>700</v>
      </c>
      <c r="D21" s="184">
        <f>'AT3A_cvrg(Insti)_PY'!L24+'AT3B_cvrg(Insti)_UPY '!L23+'AT3C_cvrg(Insti)_UPY '!L23</f>
        <v>587</v>
      </c>
      <c r="E21" s="493">
        <f t="shared" si="0"/>
        <v>113</v>
      </c>
    </row>
    <row r="22" spans="1:5" x14ac:dyDescent="0.2">
      <c r="A22" s="8">
        <v>14</v>
      </c>
      <c r="B22" s="184" t="s">
        <v>888</v>
      </c>
      <c r="C22" s="493">
        <f>T5_PLAN_vs_PRFM!C25+'T5A_PLAN_vs_PRFM '!C25+'T5B_PLAN_vs_PRFM  (2)'!C25</f>
        <v>723</v>
      </c>
      <c r="D22" s="184">
        <f>'AT3A_cvrg(Insti)_PY'!L25+'AT3B_cvrg(Insti)_UPY '!L24+'AT3C_cvrg(Insti)_UPY '!L24</f>
        <v>659</v>
      </c>
      <c r="E22" s="493">
        <f t="shared" si="0"/>
        <v>64</v>
      </c>
    </row>
    <row r="23" spans="1:5" x14ac:dyDescent="0.2">
      <c r="A23" s="8">
        <v>15</v>
      </c>
      <c r="B23" s="184" t="s">
        <v>889</v>
      </c>
      <c r="C23" s="493">
        <f>T5_PLAN_vs_PRFM!C26+'T5A_PLAN_vs_PRFM '!C26+'T5B_PLAN_vs_PRFM  (2)'!C26</f>
        <v>1794</v>
      </c>
      <c r="D23" s="184">
        <f>'AT3A_cvrg(Insti)_PY'!L26+'AT3B_cvrg(Insti)_UPY '!L25+'AT3C_cvrg(Insti)_UPY '!L25</f>
        <v>1539</v>
      </c>
      <c r="E23" s="493">
        <f t="shared" si="0"/>
        <v>255</v>
      </c>
    </row>
    <row r="24" spans="1:5" x14ac:dyDescent="0.2">
      <c r="A24" s="8">
        <v>16</v>
      </c>
      <c r="B24" s="184" t="s">
        <v>890</v>
      </c>
      <c r="C24" s="493">
        <f>T5_PLAN_vs_PRFM!C27+'T5A_PLAN_vs_PRFM '!C27+'T5B_PLAN_vs_PRFM  (2)'!C27</f>
        <v>3359</v>
      </c>
      <c r="D24" s="184">
        <f>'AT3A_cvrg(Insti)_PY'!L27+'AT3B_cvrg(Insti)_UPY '!L26+'AT3C_cvrg(Insti)_UPY '!L26</f>
        <v>3136</v>
      </c>
      <c r="E24" s="493">
        <f t="shared" si="0"/>
        <v>223</v>
      </c>
    </row>
    <row r="25" spans="1:5" x14ac:dyDescent="0.2">
      <c r="A25" s="8">
        <v>17</v>
      </c>
      <c r="B25" s="184" t="s">
        <v>891</v>
      </c>
      <c r="C25" s="493">
        <f>T5_PLAN_vs_PRFM!C28+'T5A_PLAN_vs_PRFM '!C28+'T5B_PLAN_vs_PRFM  (2)'!C28</f>
        <v>1832</v>
      </c>
      <c r="D25" s="184">
        <f>'AT3A_cvrg(Insti)_PY'!L28+'AT3B_cvrg(Insti)_UPY '!L27+'AT3C_cvrg(Insti)_UPY '!L27</f>
        <v>1694</v>
      </c>
      <c r="E25" s="493">
        <f t="shared" si="0"/>
        <v>138</v>
      </c>
    </row>
    <row r="26" spans="1:5" x14ac:dyDescent="0.2">
      <c r="A26" s="8">
        <v>18</v>
      </c>
      <c r="B26" s="184" t="s">
        <v>892</v>
      </c>
      <c r="C26" s="493">
        <f>T5_PLAN_vs_PRFM!C29+'T5A_PLAN_vs_PRFM '!C29+'T5B_PLAN_vs_PRFM  (2)'!C29</f>
        <v>1730</v>
      </c>
      <c r="D26" s="184">
        <f>'AT3A_cvrg(Insti)_PY'!L29+'AT3B_cvrg(Insti)_UPY '!L28+'AT3C_cvrg(Insti)_UPY '!L28</f>
        <v>1522</v>
      </c>
      <c r="E26" s="493">
        <f t="shared" si="0"/>
        <v>208</v>
      </c>
    </row>
    <row r="27" spans="1:5" x14ac:dyDescent="0.2">
      <c r="A27" s="8">
        <v>19</v>
      </c>
      <c r="B27" s="184" t="s">
        <v>893</v>
      </c>
      <c r="C27" s="493">
        <f>T5_PLAN_vs_PRFM!C30+'T5A_PLAN_vs_PRFM '!C30+'T5B_PLAN_vs_PRFM  (2)'!C30</f>
        <v>2497</v>
      </c>
      <c r="D27" s="184">
        <f>'AT3A_cvrg(Insti)_PY'!L30+'AT3B_cvrg(Insti)_UPY '!L29+'AT3C_cvrg(Insti)_UPY '!L29</f>
        <v>2314</v>
      </c>
      <c r="E27" s="493">
        <f t="shared" si="0"/>
        <v>183</v>
      </c>
    </row>
    <row r="28" spans="1:5" x14ac:dyDescent="0.2">
      <c r="A28" s="8">
        <v>20</v>
      </c>
      <c r="B28" s="184" t="s">
        <v>894</v>
      </c>
      <c r="C28" s="493">
        <f>T5_PLAN_vs_PRFM!C31+'T5A_PLAN_vs_PRFM '!C31+'T5B_PLAN_vs_PRFM  (2)'!C31</f>
        <v>1166</v>
      </c>
      <c r="D28" s="184">
        <f>'AT3A_cvrg(Insti)_PY'!L31+'AT3B_cvrg(Insti)_UPY '!L30+'AT3C_cvrg(Insti)_UPY '!L30</f>
        <v>1015</v>
      </c>
      <c r="E28" s="493">
        <f t="shared" si="0"/>
        <v>151</v>
      </c>
    </row>
    <row r="29" spans="1:5" x14ac:dyDescent="0.2">
      <c r="A29" s="8">
        <v>21</v>
      </c>
      <c r="B29" s="184" t="s">
        <v>895</v>
      </c>
      <c r="C29" s="493">
        <f>T5_PLAN_vs_PRFM!C32+'T5A_PLAN_vs_PRFM '!C32+'T5B_PLAN_vs_PRFM  (2)'!C32</f>
        <v>1434</v>
      </c>
      <c r="D29" s="184">
        <f>'AT3A_cvrg(Insti)_PY'!L32+'AT3B_cvrg(Insti)_UPY '!L31+'AT3C_cvrg(Insti)_UPY '!L31</f>
        <v>1286</v>
      </c>
      <c r="E29" s="493">
        <f t="shared" si="0"/>
        <v>148</v>
      </c>
    </row>
    <row r="30" spans="1:5" x14ac:dyDescent="0.2">
      <c r="A30" s="8">
        <v>22</v>
      </c>
      <c r="B30" s="184" t="s">
        <v>896</v>
      </c>
      <c r="C30" s="493">
        <f>T5_PLAN_vs_PRFM!C33+'T5A_PLAN_vs_PRFM '!C33+'T5B_PLAN_vs_PRFM  (2)'!C33</f>
        <v>1061</v>
      </c>
      <c r="D30" s="184">
        <f>'AT3A_cvrg(Insti)_PY'!L33+'AT3B_cvrg(Insti)_UPY '!L32+'AT3C_cvrg(Insti)_UPY '!L32</f>
        <v>1011</v>
      </c>
      <c r="E30" s="493">
        <f t="shared" si="0"/>
        <v>50</v>
      </c>
    </row>
    <row r="31" spans="1:5" x14ac:dyDescent="0.2">
      <c r="A31" s="8">
        <v>23</v>
      </c>
      <c r="B31" s="184" t="s">
        <v>897</v>
      </c>
      <c r="C31" s="493">
        <f>T5_PLAN_vs_PRFM!C34+'T5A_PLAN_vs_PRFM '!C34+'T5B_PLAN_vs_PRFM  (2)'!C34</f>
        <v>1727</v>
      </c>
      <c r="D31" s="184">
        <f>'AT3A_cvrg(Insti)_PY'!L34+'AT3B_cvrg(Insti)_UPY '!L33+'AT3C_cvrg(Insti)_UPY '!L33</f>
        <v>1540</v>
      </c>
      <c r="E31" s="493">
        <f t="shared" si="0"/>
        <v>187</v>
      </c>
    </row>
    <row r="32" spans="1:5" x14ac:dyDescent="0.2">
      <c r="A32" s="8">
        <v>24</v>
      </c>
      <c r="B32" s="184" t="s">
        <v>898</v>
      </c>
      <c r="C32" s="493">
        <f>T5_PLAN_vs_PRFM!C35+'T5A_PLAN_vs_PRFM '!C35+'T5B_PLAN_vs_PRFM  (2)'!C35</f>
        <v>2092</v>
      </c>
      <c r="D32" s="184">
        <f>'AT3A_cvrg(Insti)_PY'!L35+'AT3B_cvrg(Insti)_UPY '!L34+'AT3C_cvrg(Insti)_UPY '!L34</f>
        <v>1945</v>
      </c>
      <c r="E32" s="493">
        <f t="shared" si="0"/>
        <v>147</v>
      </c>
    </row>
    <row r="33" spans="1:8" s="14" customFormat="1" x14ac:dyDescent="0.2">
      <c r="A33" s="733" t="s">
        <v>15</v>
      </c>
      <c r="B33" s="735"/>
      <c r="C33" s="28">
        <f>SUM(C9:C32)</f>
        <v>39722</v>
      </c>
      <c r="D33" s="28">
        <f>SUM(D9:D32)</f>
        <v>35773</v>
      </c>
      <c r="E33" s="28">
        <f>SUM(E9:E32)</f>
        <v>3949</v>
      </c>
    </row>
    <row r="34" spans="1:8" x14ac:dyDescent="0.2">
      <c r="A34" s="185"/>
    </row>
    <row r="37" spans="1:8" ht="15" customHeight="1" x14ac:dyDescent="0.2">
      <c r="A37" s="186"/>
      <c r="B37" s="186" t="s">
        <v>901</v>
      </c>
      <c r="C37" s="186"/>
      <c r="D37" s="186" t="s">
        <v>899</v>
      </c>
      <c r="E37" s="186"/>
    </row>
    <row r="38" spans="1:8" ht="15" customHeight="1" x14ac:dyDescent="0.2">
      <c r="A38" s="186"/>
      <c r="B38" s="186" t="s">
        <v>902</v>
      </c>
      <c r="C38" s="186"/>
      <c r="D38" s="186" t="s">
        <v>900</v>
      </c>
      <c r="E38" s="186"/>
    </row>
    <row r="39" spans="1:8" ht="15" customHeight="1" x14ac:dyDescent="0.2">
      <c r="A39" s="186"/>
      <c r="B39" s="186"/>
      <c r="C39" s="186"/>
      <c r="D39" s="186"/>
      <c r="E39" s="186"/>
    </row>
    <row r="40" spans="1:8" x14ac:dyDescent="0.2">
      <c r="A40" s="186" t="s">
        <v>11</v>
      </c>
      <c r="C40" s="186"/>
      <c r="D40" s="186"/>
      <c r="E40" s="186"/>
    </row>
    <row r="41" spans="1:8" x14ac:dyDescent="0.2">
      <c r="A41" s="186"/>
      <c r="B41" s="186"/>
      <c r="C41" s="186"/>
      <c r="D41" s="186"/>
      <c r="E41" s="186"/>
      <c r="F41" s="186"/>
      <c r="G41" s="186"/>
      <c r="H41" s="186"/>
    </row>
  </sheetData>
  <mergeCells count="4">
    <mergeCell ref="A1:E1"/>
    <mergeCell ref="A2:E2"/>
    <mergeCell ref="A4:E4"/>
    <mergeCell ref="A33:B33"/>
  </mergeCells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4" zoomScale="85" zoomScaleNormal="85" workbookViewId="0">
      <selection activeCell="K11" sqref="K11"/>
    </sheetView>
  </sheetViews>
  <sheetFormatPr defaultColWidth="6.28515625" defaultRowHeight="15" x14ac:dyDescent="0.25"/>
  <cols>
    <col min="1" max="1" width="6.28515625" style="450" bestFit="1" customWidth="1"/>
    <col min="2" max="2" width="21.42578125" style="450" customWidth="1"/>
    <col min="3" max="7" width="8.28515625" style="450" customWidth="1"/>
    <col min="8" max="13" width="10.140625" style="450" customWidth="1"/>
    <col min="14" max="16" width="9.5703125" style="450" customWidth="1"/>
    <col min="17" max="17" width="11.7109375" style="450" customWidth="1"/>
    <col min="18" max="21" width="20.85546875" style="450" customWidth="1"/>
    <col min="22" max="255" width="9.140625" style="450" customWidth="1"/>
    <col min="256" max="256" width="6.28515625" style="450" bestFit="1"/>
    <col min="257" max="16384" width="6.28515625" style="450"/>
  </cols>
  <sheetData>
    <row r="1" spans="1:20" ht="18.75" x14ac:dyDescent="0.3">
      <c r="A1" s="1205" t="s">
        <v>1003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</row>
    <row r="2" spans="1:20" ht="18.75" x14ac:dyDescent="0.3">
      <c r="A2" s="1205" t="s">
        <v>1004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</row>
    <row r="3" spans="1:20" ht="18.75" x14ac:dyDescent="0.3">
      <c r="A3" s="1205" t="s">
        <v>1005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  <c r="P3" s="1205"/>
    </row>
    <row r="4" spans="1:20" ht="18.75" x14ac:dyDescent="0.3">
      <c r="A4" s="1205" t="s">
        <v>1020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</row>
    <row r="6" spans="1:20" s="451" customFormat="1" ht="33" customHeight="1" x14ac:dyDescent="0.2">
      <c r="A6" s="1201" t="s">
        <v>1006</v>
      </c>
      <c r="B6" s="1201" t="s">
        <v>2</v>
      </c>
      <c r="C6" s="1203" t="s">
        <v>1007</v>
      </c>
      <c r="D6" s="1203"/>
      <c r="E6" s="1203"/>
      <c r="F6" s="1201" t="s">
        <v>1008</v>
      </c>
      <c r="G6" s="1201" t="s">
        <v>1009</v>
      </c>
      <c r="H6" s="1199" t="s">
        <v>1010</v>
      </c>
      <c r="I6" s="1200"/>
      <c r="J6" s="1199" t="s">
        <v>120</v>
      </c>
      <c r="K6" s="1200"/>
      <c r="L6" s="1199" t="s">
        <v>1011</v>
      </c>
      <c r="M6" s="1200"/>
      <c r="N6" s="1203" t="s">
        <v>1012</v>
      </c>
      <c r="O6" s="1201" t="s">
        <v>1013</v>
      </c>
      <c r="P6" s="1201" t="s">
        <v>122</v>
      </c>
    </row>
    <row r="7" spans="1:20" s="451" customFormat="1" ht="30" x14ac:dyDescent="0.2">
      <c r="A7" s="1202"/>
      <c r="B7" s="1202"/>
      <c r="C7" s="452" t="s">
        <v>20</v>
      </c>
      <c r="D7" s="452" t="s">
        <v>21</v>
      </c>
      <c r="E7" s="452" t="s">
        <v>1014</v>
      </c>
      <c r="F7" s="1202"/>
      <c r="G7" s="1202"/>
      <c r="H7" s="452" t="s">
        <v>20</v>
      </c>
      <c r="I7" s="452" t="s">
        <v>21</v>
      </c>
      <c r="J7" s="452" t="s">
        <v>20</v>
      </c>
      <c r="K7" s="452" t="s">
        <v>21</v>
      </c>
      <c r="L7" s="452" t="s">
        <v>1015</v>
      </c>
      <c r="M7" s="452" t="s">
        <v>96</v>
      </c>
      <c r="N7" s="1203"/>
      <c r="O7" s="1202"/>
      <c r="P7" s="1202"/>
    </row>
    <row r="8" spans="1:20" s="451" customFormat="1" x14ac:dyDescent="0.2">
      <c r="A8" s="453">
        <v>1</v>
      </c>
      <c r="B8" s="453">
        <v>2</v>
      </c>
      <c r="C8" s="453">
        <v>3</v>
      </c>
      <c r="D8" s="453">
        <v>4</v>
      </c>
      <c r="E8" s="453">
        <v>5</v>
      </c>
      <c r="F8" s="453">
        <v>6</v>
      </c>
      <c r="G8" s="453">
        <v>7</v>
      </c>
      <c r="H8" s="453">
        <v>8</v>
      </c>
      <c r="I8" s="453">
        <v>9</v>
      </c>
      <c r="J8" s="453">
        <v>10</v>
      </c>
      <c r="K8" s="453">
        <v>11</v>
      </c>
      <c r="L8" s="453">
        <v>12</v>
      </c>
      <c r="M8" s="453">
        <v>13</v>
      </c>
      <c r="N8" s="453">
        <v>14</v>
      </c>
      <c r="O8" s="453">
        <v>15</v>
      </c>
      <c r="P8" s="453">
        <v>16</v>
      </c>
    </row>
    <row r="9" spans="1:20" ht="15" customHeight="1" x14ac:dyDescent="0.25">
      <c r="A9" s="454">
        <v>1</v>
      </c>
      <c r="B9" s="351" t="s">
        <v>875</v>
      </c>
      <c r="C9" s="464">
        <v>145867</v>
      </c>
      <c r="D9" s="464">
        <v>63080</v>
      </c>
      <c r="E9" s="464">
        <v>639</v>
      </c>
      <c r="F9" s="464">
        <v>5316</v>
      </c>
      <c r="G9" s="464">
        <v>4982</v>
      </c>
      <c r="H9" s="465">
        <f>C9*0.0001*254</f>
        <v>3705.0218</v>
      </c>
      <c r="I9" s="465">
        <f>D9*254*0.00015+E9*311*0.00015</f>
        <v>2433.15735</v>
      </c>
      <c r="J9" s="465">
        <f>C9*254*2.61/100000</f>
        <v>967.01068979999991</v>
      </c>
      <c r="K9" s="465">
        <f>D9*254*3.91/100000+E9*312*3.91/100000</f>
        <v>634.26800079999998</v>
      </c>
      <c r="L9" s="465">
        <f>G9*600*10/100000</f>
        <v>298.92</v>
      </c>
      <c r="M9" s="465">
        <f>G9*900*10/100000</f>
        <v>448.38</v>
      </c>
      <c r="N9" s="466">
        <f>H9*1175/100000+I9*1175/100000</f>
        <v>72.123605012500008</v>
      </c>
      <c r="O9" s="466">
        <f>(H9+I9)*3000/100000</f>
        <v>184.1453745</v>
      </c>
      <c r="P9" s="466">
        <f>2.7/100*(J9+K9+L9+N9+O9)</f>
        <v>58.224627093037505</v>
      </c>
      <c r="Q9" s="456"/>
      <c r="R9" s="456"/>
      <c r="T9" s="456"/>
    </row>
    <row r="10" spans="1:20" x14ac:dyDescent="0.25">
      <c r="A10" s="454">
        <v>2</v>
      </c>
      <c r="B10" s="351" t="s">
        <v>876</v>
      </c>
      <c r="C10" s="464">
        <v>49122</v>
      </c>
      <c r="D10" s="464">
        <v>17555</v>
      </c>
      <c r="E10" s="464">
        <v>0</v>
      </c>
      <c r="F10" s="464">
        <v>1637</v>
      </c>
      <c r="G10" s="464">
        <v>1627</v>
      </c>
      <c r="H10" s="465">
        <f t="shared" ref="H10:H32" si="0">C10*0.0001*254</f>
        <v>1247.6988000000001</v>
      </c>
      <c r="I10" s="465">
        <f t="shared" ref="I10:I32" si="1">D10*254*0.00015+E10*311*0.00015</f>
        <v>668.8454999999999</v>
      </c>
      <c r="J10" s="465">
        <f t="shared" ref="J10:J32" si="2">C10*254*2.61/100000</f>
        <v>325.6493868</v>
      </c>
      <c r="K10" s="465">
        <f t="shared" ref="K10:K32" si="3">D10*254*3.91/100000+E10*312*3.91/100000</f>
        <v>174.34572699999998</v>
      </c>
      <c r="L10" s="465">
        <f t="shared" ref="L10:L32" si="4">G10*600*10/100000</f>
        <v>97.62</v>
      </c>
      <c r="M10" s="465">
        <f t="shared" ref="M10:M32" si="5">G10*900*10/100000</f>
        <v>146.43</v>
      </c>
      <c r="N10" s="466">
        <f t="shared" ref="N10:N32" si="6">H10*1175/100000+I10*1175/100000</f>
        <v>22.519395525</v>
      </c>
      <c r="O10" s="466">
        <f t="shared" ref="O10:O32" si="7">(H10+I10)*3000/100000</f>
        <v>57.496329000000003</v>
      </c>
      <c r="P10" s="466">
        <f t="shared" ref="P10:P32" si="8">2.7/100*(J10+K10+L10+N10+O10)</f>
        <v>18.296032634775003</v>
      </c>
      <c r="Q10" s="456"/>
      <c r="R10" s="456"/>
      <c r="T10" s="456"/>
    </row>
    <row r="11" spans="1:20" x14ac:dyDescent="0.25">
      <c r="A11" s="454">
        <v>3</v>
      </c>
      <c r="B11" s="351" t="s">
        <v>877</v>
      </c>
      <c r="C11" s="464">
        <v>38542</v>
      </c>
      <c r="D11" s="464">
        <v>16093</v>
      </c>
      <c r="E11" s="464">
        <v>0</v>
      </c>
      <c r="F11" s="464">
        <v>1205</v>
      </c>
      <c r="G11" s="464">
        <v>1205</v>
      </c>
      <c r="H11" s="465">
        <f t="shared" si="0"/>
        <v>978.96680000000003</v>
      </c>
      <c r="I11" s="465">
        <f t="shared" si="1"/>
        <v>613.14329999999995</v>
      </c>
      <c r="J11" s="465">
        <f t="shared" si="2"/>
        <v>255.51033480000001</v>
      </c>
      <c r="K11" s="465">
        <f t="shared" si="3"/>
        <v>159.82602020000002</v>
      </c>
      <c r="L11" s="465">
        <f t="shared" si="4"/>
        <v>72.3</v>
      </c>
      <c r="M11" s="465">
        <f t="shared" si="5"/>
        <v>108.45</v>
      </c>
      <c r="N11" s="466">
        <f t="shared" si="6"/>
        <v>18.707293674999999</v>
      </c>
      <c r="O11" s="466">
        <f t="shared" si="7"/>
        <v>47.763303000000001</v>
      </c>
      <c r="P11" s="466">
        <f t="shared" si="8"/>
        <v>14.960887695225003</v>
      </c>
      <c r="Q11" s="456"/>
      <c r="R11" s="456"/>
      <c r="T11" s="456"/>
    </row>
    <row r="12" spans="1:20" x14ac:dyDescent="0.25">
      <c r="A12" s="454">
        <v>4</v>
      </c>
      <c r="B12" s="351" t="s">
        <v>878</v>
      </c>
      <c r="C12" s="464">
        <v>113969</v>
      </c>
      <c r="D12" s="464">
        <v>41238</v>
      </c>
      <c r="E12" s="464">
        <v>0</v>
      </c>
      <c r="F12" s="464">
        <v>3721</v>
      </c>
      <c r="G12" s="464">
        <v>3686</v>
      </c>
      <c r="H12" s="465">
        <f t="shared" si="0"/>
        <v>2894.8126000000002</v>
      </c>
      <c r="I12" s="465">
        <f t="shared" si="1"/>
        <v>1571.1677999999999</v>
      </c>
      <c r="J12" s="465">
        <f t="shared" si="2"/>
        <v>755.54608859999996</v>
      </c>
      <c r="K12" s="465">
        <f t="shared" si="3"/>
        <v>409.55107320000002</v>
      </c>
      <c r="L12" s="465">
        <f t="shared" si="4"/>
        <v>221.16</v>
      </c>
      <c r="M12" s="465">
        <f t="shared" si="5"/>
        <v>331.74</v>
      </c>
      <c r="N12" s="466">
        <f t="shared" si="6"/>
        <v>52.475269699999998</v>
      </c>
      <c r="O12" s="466">
        <f t="shared" si="7"/>
        <v>133.97941200000002</v>
      </c>
      <c r="P12" s="466">
        <f t="shared" si="8"/>
        <v>42.463219774499997</v>
      </c>
      <c r="Q12" s="456"/>
      <c r="R12" s="456"/>
      <c r="T12" s="456"/>
    </row>
    <row r="13" spans="1:20" x14ac:dyDescent="0.25">
      <c r="A13" s="454">
        <v>5</v>
      </c>
      <c r="B13" s="351" t="s">
        <v>879</v>
      </c>
      <c r="C13" s="464">
        <v>59209</v>
      </c>
      <c r="D13" s="464">
        <v>23168</v>
      </c>
      <c r="E13" s="464">
        <v>0</v>
      </c>
      <c r="F13" s="464">
        <v>2269</v>
      </c>
      <c r="G13" s="464">
        <v>2093</v>
      </c>
      <c r="H13" s="465">
        <f t="shared" si="0"/>
        <v>1503.9086000000002</v>
      </c>
      <c r="I13" s="465">
        <f t="shared" si="1"/>
        <v>882.70079999999996</v>
      </c>
      <c r="J13" s="465">
        <f t="shared" si="2"/>
        <v>392.52014459999998</v>
      </c>
      <c r="K13" s="465">
        <f t="shared" si="3"/>
        <v>230.09067519999999</v>
      </c>
      <c r="L13" s="465">
        <f t="shared" si="4"/>
        <v>125.58</v>
      </c>
      <c r="M13" s="465">
        <f t="shared" si="5"/>
        <v>188.37</v>
      </c>
      <c r="N13" s="466">
        <f t="shared" si="6"/>
        <v>28.04266045</v>
      </c>
      <c r="O13" s="466">
        <f t="shared" si="7"/>
        <v>71.598282000000012</v>
      </c>
      <c r="P13" s="466">
        <f t="shared" si="8"/>
        <v>22.891457580750004</v>
      </c>
      <c r="Q13" s="456"/>
      <c r="R13" s="456"/>
      <c r="T13" s="456"/>
    </row>
    <row r="14" spans="1:20" x14ac:dyDescent="0.25">
      <c r="A14" s="454">
        <v>6</v>
      </c>
      <c r="B14" s="351" t="s">
        <v>880</v>
      </c>
      <c r="C14" s="464">
        <v>101358</v>
      </c>
      <c r="D14" s="464">
        <v>50246</v>
      </c>
      <c r="E14" s="464">
        <v>0</v>
      </c>
      <c r="F14" s="464">
        <v>3472</v>
      </c>
      <c r="G14" s="464">
        <v>3467</v>
      </c>
      <c r="H14" s="465">
        <f t="shared" si="0"/>
        <v>2574.4931999999999</v>
      </c>
      <c r="I14" s="465">
        <f t="shared" si="1"/>
        <v>1914.3725999999999</v>
      </c>
      <c r="J14" s="465">
        <f t="shared" si="2"/>
        <v>671.94272519999993</v>
      </c>
      <c r="K14" s="465">
        <f t="shared" si="3"/>
        <v>499.01312440000004</v>
      </c>
      <c r="L14" s="465">
        <f t="shared" si="4"/>
        <v>208.02</v>
      </c>
      <c r="M14" s="465">
        <f t="shared" si="5"/>
        <v>312.02999999999997</v>
      </c>
      <c r="N14" s="466">
        <f t="shared" si="6"/>
        <v>52.744173149999995</v>
      </c>
      <c r="O14" s="466">
        <f t="shared" si="7"/>
        <v>134.66597399999998</v>
      </c>
      <c r="P14" s="466">
        <f t="shared" si="8"/>
        <v>42.292421912250006</v>
      </c>
      <c r="Q14" s="456"/>
      <c r="R14" s="456"/>
      <c r="T14" s="456"/>
    </row>
    <row r="15" spans="1:20" x14ac:dyDescent="0.25">
      <c r="A15" s="454">
        <v>7</v>
      </c>
      <c r="B15" s="351" t="s">
        <v>923</v>
      </c>
      <c r="C15" s="464">
        <v>66093</v>
      </c>
      <c r="D15" s="464">
        <v>32016</v>
      </c>
      <c r="E15" s="464">
        <v>0</v>
      </c>
      <c r="F15" s="464">
        <v>2850</v>
      </c>
      <c r="G15" s="464">
        <v>2687</v>
      </c>
      <c r="H15" s="465">
        <f t="shared" si="0"/>
        <v>1678.7622000000001</v>
      </c>
      <c r="I15" s="465">
        <f t="shared" si="1"/>
        <v>1219.8095999999998</v>
      </c>
      <c r="J15" s="465">
        <f t="shared" si="2"/>
        <v>438.15693419999997</v>
      </c>
      <c r="K15" s="465">
        <f t="shared" si="3"/>
        <v>317.96370240000005</v>
      </c>
      <c r="L15" s="465">
        <f t="shared" si="4"/>
        <v>161.22</v>
      </c>
      <c r="M15" s="465">
        <f t="shared" si="5"/>
        <v>241.83</v>
      </c>
      <c r="N15" s="466">
        <f t="shared" si="6"/>
        <v>34.058218650000001</v>
      </c>
      <c r="O15" s="466">
        <f t="shared" si="7"/>
        <v>86.957153999999989</v>
      </c>
      <c r="P15" s="466">
        <f t="shared" si="8"/>
        <v>28.035612249750002</v>
      </c>
      <c r="Q15" s="456"/>
      <c r="R15" s="456"/>
      <c r="T15" s="456"/>
    </row>
    <row r="16" spans="1:20" x14ac:dyDescent="0.25">
      <c r="A16" s="454">
        <v>8</v>
      </c>
      <c r="B16" s="351" t="s">
        <v>882</v>
      </c>
      <c r="C16" s="464">
        <v>143483</v>
      </c>
      <c r="D16" s="464">
        <v>55485</v>
      </c>
      <c r="E16" s="464">
        <v>481</v>
      </c>
      <c r="F16" s="464">
        <v>3818</v>
      </c>
      <c r="G16" s="464">
        <v>3717</v>
      </c>
      <c r="H16" s="465">
        <f t="shared" si="0"/>
        <v>3644.4681999999998</v>
      </c>
      <c r="I16" s="465">
        <f t="shared" si="1"/>
        <v>2136.4171499999998</v>
      </c>
      <c r="J16" s="465">
        <f t="shared" si="2"/>
        <v>951.20620020000001</v>
      </c>
      <c r="K16" s="465">
        <f t="shared" si="3"/>
        <v>556.91154419999998</v>
      </c>
      <c r="L16" s="465">
        <f t="shared" si="4"/>
        <v>223.02</v>
      </c>
      <c r="M16" s="465">
        <f t="shared" si="5"/>
        <v>334.53</v>
      </c>
      <c r="N16" s="466">
        <f t="shared" si="6"/>
        <v>67.925402862499993</v>
      </c>
      <c r="O16" s="466">
        <f t="shared" si="7"/>
        <v>173.42656049999997</v>
      </c>
      <c r="P16" s="466">
        <f t="shared" si="8"/>
        <v>53.257222109587509</v>
      </c>
      <c r="Q16" s="456"/>
      <c r="R16" s="456"/>
      <c r="T16" s="456"/>
    </row>
    <row r="17" spans="1:21" x14ac:dyDescent="0.25">
      <c r="A17" s="454">
        <v>9</v>
      </c>
      <c r="B17" s="351" t="s">
        <v>883</v>
      </c>
      <c r="C17" s="464">
        <v>187166</v>
      </c>
      <c r="D17" s="464">
        <v>85229</v>
      </c>
      <c r="E17" s="464">
        <v>0</v>
      </c>
      <c r="F17" s="464">
        <v>5569</v>
      </c>
      <c r="G17" s="464">
        <v>5569</v>
      </c>
      <c r="H17" s="465">
        <f t="shared" si="0"/>
        <v>4754.0163999999995</v>
      </c>
      <c r="I17" s="465">
        <f t="shared" si="1"/>
        <v>3247.2248999999997</v>
      </c>
      <c r="J17" s="465">
        <f t="shared" si="2"/>
        <v>1240.7982803999998</v>
      </c>
      <c r="K17" s="465">
        <f t="shared" si="3"/>
        <v>846.44329060000007</v>
      </c>
      <c r="L17" s="465">
        <f t="shared" si="4"/>
        <v>334.14</v>
      </c>
      <c r="M17" s="465">
        <f t="shared" si="5"/>
        <v>501.21</v>
      </c>
      <c r="N17" s="466">
        <f t="shared" si="6"/>
        <v>94.014585275000002</v>
      </c>
      <c r="O17" s="466">
        <f t="shared" si="7"/>
        <v>240.03723899999997</v>
      </c>
      <c r="P17" s="466">
        <f t="shared" si="8"/>
        <v>74.39670167242501</v>
      </c>
      <c r="Q17" s="456"/>
      <c r="R17" s="456"/>
      <c r="T17" s="456"/>
    </row>
    <row r="18" spans="1:21" x14ac:dyDescent="0.25">
      <c r="A18" s="454">
        <v>10</v>
      </c>
      <c r="B18" s="351" t="s">
        <v>884</v>
      </c>
      <c r="C18" s="464">
        <v>67441</v>
      </c>
      <c r="D18" s="464">
        <v>27130</v>
      </c>
      <c r="E18" s="464">
        <v>0</v>
      </c>
      <c r="F18" s="464">
        <v>2600</v>
      </c>
      <c r="G18" s="464">
        <v>2421</v>
      </c>
      <c r="H18" s="465">
        <f t="shared" si="0"/>
        <v>1713.0014000000001</v>
      </c>
      <c r="I18" s="465">
        <f t="shared" si="1"/>
        <v>1033.653</v>
      </c>
      <c r="J18" s="465">
        <f t="shared" si="2"/>
        <v>447.09336539999998</v>
      </c>
      <c r="K18" s="465">
        <f t="shared" si="3"/>
        <v>269.43888199999998</v>
      </c>
      <c r="L18" s="465">
        <f t="shared" si="4"/>
        <v>145.26</v>
      </c>
      <c r="M18" s="465">
        <f t="shared" si="5"/>
        <v>217.89</v>
      </c>
      <c r="N18" s="466">
        <f t="shared" si="6"/>
        <v>32.273189200000004</v>
      </c>
      <c r="O18" s="466">
        <f t="shared" si="7"/>
        <v>82.399632000000011</v>
      </c>
      <c r="P18" s="466">
        <f t="shared" si="8"/>
        <v>26.364556852200003</v>
      </c>
      <c r="Q18" s="456"/>
      <c r="R18" s="456"/>
      <c r="T18" s="456"/>
    </row>
    <row r="19" spans="1:21" x14ac:dyDescent="0.25">
      <c r="A19" s="454">
        <v>11</v>
      </c>
      <c r="B19" s="351" t="s">
        <v>885</v>
      </c>
      <c r="C19" s="464">
        <v>107941</v>
      </c>
      <c r="D19" s="464">
        <v>45281</v>
      </c>
      <c r="E19" s="464">
        <v>988</v>
      </c>
      <c r="F19" s="464">
        <v>3429</v>
      </c>
      <c r="G19" s="464">
        <v>3429</v>
      </c>
      <c r="H19" s="465">
        <f t="shared" si="0"/>
        <v>2741.7013999999999</v>
      </c>
      <c r="I19" s="465">
        <f t="shared" si="1"/>
        <v>1771.2963</v>
      </c>
      <c r="J19" s="465">
        <f t="shared" si="2"/>
        <v>715.58406539999987</v>
      </c>
      <c r="K19" s="465">
        <f t="shared" si="3"/>
        <v>461.75653300000005</v>
      </c>
      <c r="L19" s="465">
        <f t="shared" si="4"/>
        <v>205.74</v>
      </c>
      <c r="M19" s="465">
        <f t="shared" si="5"/>
        <v>308.61</v>
      </c>
      <c r="N19" s="466">
        <f t="shared" si="6"/>
        <v>53.027722975000003</v>
      </c>
      <c r="O19" s="466">
        <f t="shared" si="7"/>
        <v>135.38993099999999</v>
      </c>
      <c r="P19" s="466">
        <f t="shared" si="8"/>
        <v>42.430452814124997</v>
      </c>
      <c r="Q19" s="456"/>
      <c r="R19" s="456"/>
      <c r="T19" s="456"/>
    </row>
    <row r="20" spans="1:21" x14ac:dyDescent="0.25">
      <c r="A20" s="454">
        <v>12</v>
      </c>
      <c r="B20" s="351" t="s">
        <v>886</v>
      </c>
      <c r="C20" s="464">
        <v>109322</v>
      </c>
      <c r="D20" s="464">
        <v>50641</v>
      </c>
      <c r="E20" s="464">
        <v>542</v>
      </c>
      <c r="F20" s="464">
        <v>3566</v>
      </c>
      <c r="G20" s="464">
        <v>3445</v>
      </c>
      <c r="H20" s="465">
        <f t="shared" si="0"/>
        <v>2776.7788</v>
      </c>
      <c r="I20" s="465">
        <f t="shared" si="1"/>
        <v>1954.7063999999998</v>
      </c>
      <c r="J20" s="465">
        <f t="shared" si="2"/>
        <v>724.73926679999988</v>
      </c>
      <c r="K20" s="465">
        <f t="shared" si="3"/>
        <v>509.54799379999997</v>
      </c>
      <c r="L20" s="465">
        <f t="shared" si="4"/>
        <v>206.7</v>
      </c>
      <c r="M20" s="465">
        <f t="shared" si="5"/>
        <v>310.05</v>
      </c>
      <c r="N20" s="466">
        <f t="shared" si="6"/>
        <v>55.594951099999989</v>
      </c>
      <c r="O20" s="466">
        <f t="shared" si="7"/>
        <v>141.94455600000001</v>
      </c>
      <c r="P20" s="466">
        <f t="shared" si="8"/>
        <v>44.240222727899997</v>
      </c>
      <c r="Q20" s="456"/>
      <c r="R20" s="456"/>
      <c r="T20" s="456"/>
    </row>
    <row r="21" spans="1:21" x14ac:dyDescent="0.25">
      <c r="A21" s="454">
        <v>13</v>
      </c>
      <c r="B21" s="351" t="s">
        <v>887</v>
      </c>
      <c r="C21" s="464">
        <v>46469</v>
      </c>
      <c r="D21" s="464">
        <v>24469</v>
      </c>
      <c r="E21" s="464">
        <v>0</v>
      </c>
      <c r="F21" s="464">
        <v>1738</v>
      </c>
      <c r="G21" s="464">
        <v>1704</v>
      </c>
      <c r="H21" s="465">
        <f t="shared" si="0"/>
        <v>1180.3126000000002</v>
      </c>
      <c r="I21" s="465">
        <f t="shared" si="1"/>
        <v>932.26889999999992</v>
      </c>
      <c r="J21" s="465">
        <f t="shared" si="2"/>
        <v>308.06158859999999</v>
      </c>
      <c r="K21" s="465">
        <f t="shared" si="3"/>
        <v>243.01142659999999</v>
      </c>
      <c r="L21" s="465">
        <f t="shared" si="4"/>
        <v>102.24</v>
      </c>
      <c r="M21" s="465">
        <f t="shared" si="5"/>
        <v>153.36000000000001</v>
      </c>
      <c r="N21" s="466">
        <f t="shared" si="6"/>
        <v>24.822832625000004</v>
      </c>
      <c r="O21" s="466">
        <f t="shared" si="7"/>
        <v>63.377445000000009</v>
      </c>
      <c r="P21" s="466">
        <f t="shared" si="8"/>
        <v>20.020858906275002</v>
      </c>
      <c r="Q21" s="456"/>
      <c r="R21" s="456"/>
      <c r="T21" s="456"/>
    </row>
    <row r="22" spans="1:21" x14ac:dyDescent="0.25">
      <c r="A22" s="454">
        <v>14</v>
      </c>
      <c r="B22" s="351" t="s">
        <v>888</v>
      </c>
      <c r="C22" s="464">
        <v>50280</v>
      </c>
      <c r="D22" s="464">
        <v>24472</v>
      </c>
      <c r="E22" s="464">
        <v>0</v>
      </c>
      <c r="F22" s="464">
        <v>1516</v>
      </c>
      <c r="G22" s="464">
        <v>1506</v>
      </c>
      <c r="H22" s="465">
        <f t="shared" si="0"/>
        <v>1277.1120000000001</v>
      </c>
      <c r="I22" s="465">
        <f t="shared" si="1"/>
        <v>932.38319999999987</v>
      </c>
      <c r="J22" s="465">
        <f t="shared" si="2"/>
        <v>333.326232</v>
      </c>
      <c r="K22" s="465">
        <f t="shared" si="3"/>
        <v>243.04122080000002</v>
      </c>
      <c r="L22" s="465">
        <f t="shared" si="4"/>
        <v>90.36</v>
      </c>
      <c r="M22" s="465">
        <f t="shared" si="5"/>
        <v>135.54</v>
      </c>
      <c r="N22" s="466">
        <f t="shared" si="6"/>
        <v>25.9615686</v>
      </c>
      <c r="O22" s="466">
        <f t="shared" si="7"/>
        <v>66.284855999999991</v>
      </c>
      <c r="P22" s="466">
        <f t="shared" si="8"/>
        <v>20.492294689800001</v>
      </c>
      <c r="Q22" s="456"/>
      <c r="R22" s="456"/>
      <c r="T22" s="456"/>
    </row>
    <row r="23" spans="1:21" x14ac:dyDescent="0.25">
      <c r="A23" s="454">
        <v>15</v>
      </c>
      <c r="B23" s="351" t="s">
        <v>924</v>
      </c>
      <c r="C23" s="464">
        <v>108268</v>
      </c>
      <c r="D23" s="464">
        <v>54562</v>
      </c>
      <c r="E23" s="464">
        <v>0</v>
      </c>
      <c r="F23" s="464">
        <v>4340</v>
      </c>
      <c r="G23" s="464">
        <v>3918</v>
      </c>
      <c r="H23" s="465">
        <f t="shared" si="0"/>
        <v>2750.0072</v>
      </c>
      <c r="I23" s="465">
        <f t="shared" si="1"/>
        <v>2078.8121999999998</v>
      </c>
      <c r="J23" s="465">
        <f t="shared" si="2"/>
        <v>717.75187919999996</v>
      </c>
      <c r="K23" s="465">
        <f t="shared" si="3"/>
        <v>541.87704680000002</v>
      </c>
      <c r="L23" s="465">
        <f t="shared" si="4"/>
        <v>235.08</v>
      </c>
      <c r="M23" s="465">
        <f t="shared" si="5"/>
        <v>352.62</v>
      </c>
      <c r="N23" s="466">
        <f t="shared" si="6"/>
        <v>56.738627950000001</v>
      </c>
      <c r="O23" s="466">
        <f t="shared" si="7"/>
        <v>144.86458200000001</v>
      </c>
      <c r="P23" s="466">
        <f t="shared" si="8"/>
        <v>45.800427670649995</v>
      </c>
      <c r="Q23" s="456"/>
      <c r="R23" s="456"/>
      <c r="T23" s="456"/>
    </row>
    <row r="24" spans="1:21" x14ac:dyDescent="0.25">
      <c r="A24" s="454">
        <v>16</v>
      </c>
      <c r="B24" s="351" t="s">
        <v>890</v>
      </c>
      <c r="C24" s="464">
        <v>165359</v>
      </c>
      <c r="D24" s="464">
        <v>62256</v>
      </c>
      <c r="E24" s="464">
        <v>0</v>
      </c>
      <c r="F24" s="464">
        <v>6995</v>
      </c>
      <c r="G24" s="464">
        <v>6959</v>
      </c>
      <c r="H24" s="465">
        <f t="shared" si="0"/>
        <v>4200.1186000000007</v>
      </c>
      <c r="I24" s="465">
        <f t="shared" si="1"/>
        <v>2371.9535999999998</v>
      </c>
      <c r="J24" s="465">
        <f t="shared" si="2"/>
        <v>1096.2309545999999</v>
      </c>
      <c r="K24" s="465">
        <f t="shared" si="3"/>
        <v>618.28923840000004</v>
      </c>
      <c r="L24" s="465">
        <f t="shared" si="4"/>
        <v>417.54</v>
      </c>
      <c r="M24" s="465">
        <f t="shared" si="5"/>
        <v>626.30999999999995</v>
      </c>
      <c r="N24" s="466">
        <f t="shared" si="6"/>
        <v>77.221848350000002</v>
      </c>
      <c r="O24" s="466">
        <f t="shared" si="7"/>
        <v>197.16216600000001</v>
      </c>
      <c r="P24" s="466">
        <f t="shared" si="8"/>
        <v>64.973993598450008</v>
      </c>
      <c r="Q24" s="456"/>
      <c r="R24" s="456"/>
      <c r="T24" s="456"/>
    </row>
    <row r="25" spans="1:21" x14ac:dyDescent="0.25">
      <c r="A25" s="454">
        <v>17</v>
      </c>
      <c r="B25" s="351" t="s">
        <v>891</v>
      </c>
      <c r="C25" s="464">
        <v>108106</v>
      </c>
      <c r="D25" s="464">
        <v>57075</v>
      </c>
      <c r="E25" s="464">
        <v>0</v>
      </c>
      <c r="F25" s="464">
        <v>3993</v>
      </c>
      <c r="G25" s="464">
        <v>3771</v>
      </c>
      <c r="H25" s="465">
        <f t="shared" si="0"/>
        <v>2745.8924000000002</v>
      </c>
      <c r="I25" s="465">
        <f t="shared" si="1"/>
        <v>2174.5574999999999</v>
      </c>
      <c r="J25" s="465">
        <f t="shared" si="2"/>
        <v>716.67791639999996</v>
      </c>
      <c r="K25" s="465">
        <f t="shared" si="3"/>
        <v>566.834655</v>
      </c>
      <c r="L25" s="465">
        <f t="shared" si="4"/>
        <v>226.26</v>
      </c>
      <c r="M25" s="465">
        <f t="shared" si="5"/>
        <v>339.39</v>
      </c>
      <c r="N25" s="466">
        <f t="shared" si="6"/>
        <v>57.815286325000002</v>
      </c>
      <c r="O25" s="466">
        <f t="shared" si="7"/>
        <v>147.613497</v>
      </c>
      <c r="P25" s="466">
        <f t="shared" si="8"/>
        <v>46.310436577575011</v>
      </c>
      <c r="Q25" s="456"/>
      <c r="R25" s="456"/>
      <c r="T25" s="456"/>
    </row>
    <row r="26" spans="1:21" x14ac:dyDescent="0.25">
      <c r="A26" s="454">
        <v>18</v>
      </c>
      <c r="B26" s="351" t="s">
        <v>892</v>
      </c>
      <c r="C26" s="464">
        <v>93835</v>
      </c>
      <c r="D26" s="464">
        <v>47864</v>
      </c>
      <c r="E26" s="464">
        <v>0</v>
      </c>
      <c r="F26" s="464">
        <v>3862</v>
      </c>
      <c r="G26" s="464">
        <v>3862</v>
      </c>
      <c r="H26" s="465">
        <f t="shared" si="0"/>
        <v>2383.4090000000001</v>
      </c>
      <c r="I26" s="465">
        <f t="shared" si="1"/>
        <v>1823.6183999999998</v>
      </c>
      <c r="J26" s="465">
        <f t="shared" si="2"/>
        <v>622.069749</v>
      </c>
      <c r="K26" s="465">
        <f t="shared" si="3"/>
        <v>475.35652959999999</v>
      </c>
      <c r="L26" s="465">
        <f t="shared" si="4"/>
        <v>231.72</v>
      </c>
      <c r="M26" s="465">
        <f t="shared" si="5"/>
        <v>347.58</v>
      </c>
      <c r="N26" s="466">
        <f t="shared" si="6"/>
        <v>49.432571949999996</v>
      </c>
      <c r="O26" s="466">
        <f t="shared" si="7"/>
        <v>126.21082199999999</v>
      </c>
      <c r="P26" s="466">
        <f t="shared" si="8"/>
        <v>40.629321158850004</v>
      </c>
      <c r="Q26" s="456"/>
      <c r="R26" s="477" t="s">
        <v>1015</v>
      </c>
      <c r="S26" s="454" t="s">
        <v>96</v>
      </c>
      <c r="T26" s="477" t="s">
        <v>1022</v>
      </c>
      <c r="U26" s="454" t="s">
        <v>1023</v>
      </c>
    </row>
    <row r="27" spans="1:21" x14ac:dyDescent="0.25">
      <c r="A27" s="454">
        <v>19</v>
      </c>
      <c r="B27" s="351" t="s">
        <v>893</v>
      </c>
      <c r="C27" s="464">
        <v>86631</v>
      </c>
      <c r="D27" s="464">
        <v>35779</v>
      </c>
      <c r="E27" s="464">
        <v>506</v>
      </c>
      <c r="F27" s="464">
        <v>4640</v>
      </c>
      <c r="G27" s="464">
        <v>4640</v>
      </c>
      <c r="H27" s="465">
        <f t="shared" si="0"/>
        <v>2200.4274</v>
      </c>
      <c r="I27" s="465">
        <f t="shared" si="1"/>
        <v>1386.7847999999999</v>
      </c>
      <c r="J27" s="465">
        <f t="shared" si="2"/>
        <v>574.31155139999998</v>
      </c>
      <c r="K27" s="465">
        <f t="shared" si="3"/>
        <v>361.5083558</v>
      </c>
      <c r="L27" s="465">
        <f t="shared" si="4"/>
        <v>278.39999999999998</v>
      </c>
      <c r="M27" s="465">
        <f t="shared" si="5"/>
        <v>417.6</v>
      </c>
      <c r="N27" s="466">
        <f t="shared" si="6"/>
        <v>42.149743349999994</v>
      </c>
      <c r="O27" s="466">
        <f t="shared" si="7"/>
        <v>107.616366</v>
      </c>
      <c r="P27" s="466">
        <f t="shared" si="8"/>
        <v>36.827622446849993</v>
      </c>
      <c r="Q27" s="456"/>
      <c r="R27" s="477">
        <f>J33+K33+L33+N33+O33+P33</f>
        <v>34875.020506809589</v>
      </c>
      <c r="S27" s="477">
        <f>H63+I63+M33</f>
        <v>23917.294319200002</v>
      </c>
      <c r="T27" s="477">
        <f>'Proposal Drought'!I33+'Proposal Drought'!J33+'Proposal Drought'!K33+'Proposal Drought'!M33+'Proposal Drought'!N33+'Proposal Drought'!O33</f>
        <v>2570.6059759981244</v>
      </c>
      <c r="U27" s="477">
        <f>'Proposal Drought'!G63+'Proposal Drought'!H63+'Proposal Drought'!L33</f>
        <v>1780.7804799999999</v>
      </c>
    </row>
    <row r="28" spans="1:21" x14ac:dyDescent="0.25">
      <c r="A28" s="454">
        <v>20</v>
      </c>
      <c r="B28" s="351" t="s">
        <v>894</v>
      </c>
      <c r="C28" s="464">
        <v>62264</v>
      </c>
      <c r="D28" s="464">
        <v>24890</v>
      </c>
      <c r="E28" s="464">
        <v>0</v>
      </c>
      <c r="F28" s="464">
        <v>2237</v>
      </c>
      <c r="G28" s="464">
        <v>2202</v>
      </c>
      <c r="H28" s="465">
        <f t="shared" si="0"/>
        <v>1581.5056</v>
      </c>
      <c r="I28" s="465">
        <f t="shared" si="1"/>
        <v>948.30899999999997</v>
      </c>
      <c r="J28" s="465">
        <f t="shared" si="2"/>
        <v>412.77296159999997</v>
      </c>
      <c r="K28" s="465">
        <f t="shared" si="3"/>
        <v>247.19254600000002</v>
      </c>
      <c r="L28" s="465">
        <f t="shared" si="4"/>
        <v>132.12</v>
      </c>
      <c r="M28" s="465">
        <f t="shared" si="5"/>
        <v>198.18</v>
      </c>
      <c r="N28" s="466">
        <f t="shared" si="6"/>
        <v>29.725321549999997</v>
      </c>
      <c r="O28" s="466">
        <f t="shared" si="7"/>
        <v>75.894437999999994</v>
      </c>
      <c r="P28" s="466">
        <f t="shared" si="8"/>
        <v>24.238042213050004</v>
      </c>
      <c r="Q28" s="456"/>
      <c r="R28" s="456"/>
      <c r="T28" s="456"/>
    </row>
    <row r="29" spans="1:21" x14ac:dyDescent="0.25">
      <c r="A29" s="454">
        <v>21</v>
      </c>
      <c r="B29" s="351" t="s">
        <v>925</v>
      </c>
      <c r="C29" s="464">
        <v>85470</v>
      </c>
      <c r="D29" s="464">
        <v>31956</v>
      </c>
      <c r="E29" s="464">
        <v>192</v>
      </c>
      <c r="F29" s="464">
        <v>3322</v>
      </c>
      <c r="G29" s="464">
        <v>3185</v>
      </c>
      <c r="H29" s="465">
        <f t="shared" si="0"/>
        <v>2170.9380000000001</v>
      </c>
      <c r="I29" s="465">
        <f t="shared" si="1"/>
        <v>1226.4803999999999</v>
      </c>
      <c r="J29" s="465">
        <f t="shared" si="2"/>
        <v>566.61481800000001</v>
      </c>
      <c r="K29" s="465">
        <f t="shared" si="3"/>
        <v>319.7100648</v>
      </c>
      <c r="L29" s="465">
        <f t="shared" si="4"/>
        <v>191.1</v>
      </c>
      <c r="M29" s="465">
        <f t="shared" si="5"/>
        <v>286.64999999999998</v>
      </c>
      <c r="N29" s="466">
        <f t="shared" si="6"/>
        <v>39.919666200000002</v>
      </c>
      <c r="O29" s="466">
        <f t="shared" si="7"/>
        <v>101.922552</v>
      </c>
      <c r="P29" s="466">
        <f t="shared" si="8"/>
        <v>32.920211727000002</v>
      </c>
      <c r="Q29" s="456"/>
      <c r="R29" s="456">
        <f>R27+T27</f>
        <v>37445.626482807711</v>
      </c>
      <c r="T29" s="456"/>
    </row>
    <row r="30" spans="1:21" x14ac:dyDescent="0.25">
      <c r="A30" s="454">
        <v>22</v>
      </c>
      <c r="B30" s="351" t="s">
        <v>896</v>
      </c>
      <c r="C30" s="464">
        <v>64609</v>
      </c>
      <c r="D30" s="464">
        <v>17528</v>
      </c>
      <c r="E30" s="464">
        <v>52</v>
      </c>
      <c r="F30" s="464">
        <v>2030</v>
      </c>
      <c r="G30" s="464">
        <v>2068</v>
      </c>
      <c r="H30" s="465">
        <f t="shared" si="0"/>
        <v>1641.0686000000001</v>
      </c>
      <c r="I30" s="465">
        <f t="shared" si="1"/>
        <v>670.24259999999992</v>
      </c>
      <c r="J30" s="465">
        <f t="shared" si="2"/>
        <v>428.3189046</v>
      </c>
      <c r="K30" s="465">
        <f t="shared" si="3"/>
        <v>174.71193760000003</v>
      </c>
      <c r="L30" s="465">
        <f t="shared" si="4"/>
        <v>124.08</v>
      </c>
      <c r="M30" s="465">
        <f t="shared" si="5"/>
        <v>186.12</v>
      </c>
      <c r="N30" s="466">
        <f t="shared" si="6"/>
        <v>27.1579066</v>
      </c>
      <c r="O30" s="466">
        <f t="shared" si="7"/>
        <v>69.339336000000003</v>
      </c>
      <c r="P30" s="466">
        <f t="shared" si="8"/>
        <v>22.237418289600008</v>
      </c>
      <c r="Q30" s="456"/>
      <c r="R30" s="456"/>
      <c r="T30" s="456"/>
    </row>
    <row r="31" spans="1:21" x14ac:dyDescent="0.25">
      <c r="A31" s="454">
        <v>23</v>
      </c>
      <c r="B31" s="351" t="s">
        <v>926</v>
      </c>
      <c r="C31" s="464">
        <v>109390</v>
      </c>
      <c r="D31" s="464">
        <v>39321</v>
      </c>
      <c r="E31" s="464">
        <v>0</v>
      </c>
      <c r="F31" s="464">
        <v>3210</v>
      </c>
      <c r="G31" s="464">
        <v>3206</v>
      </c>
      <c r="H31" s="465">
        <f t="shared" si="0"/>
        <v>2778.5059999999999</v>
      </c>
      <c r="I31" s="465">
        <f t="shared" si="1"/>
        <v>1498.1300999999999</v>
      </c>
      <c r="J31" s="465">
        <f t="shared" si="2"/>
        <v>725.19006599999989</v>
      </c>
      <c r="K31" s="465">
        <f t="shared" si="3"/>
        <v>390.51257940000005</v>
      </c>
      <c r="L31" s="465">
        <f t="shared" si="4"/>
        <v>192.36</v>
      </c>
      <c r="M31" s="465">
        <f t="shared" si="5"/>
        <v>288.54000000000002</v>
      </c>
      <c r="N31" s="466">
        <f t="shared" si="6"/>
        <v>50.250474174999994</v>
      </c>
      <c r="O31" s="466">
        <f t="shared" si="7"/>
        <v>128.299083</v>
      </c>
      <c r="P31" s="466">
        <f t="shared" si="8"/>
        <v>40.138529469524997</v>
      </c>
      <c r="Q31" s="456"/>
      <c r="R31" s="456"/>
      <c r="T31" s="456"/>
    </row>
    <row r="32" spans="1:21" x14ac:dyDescent="0.25">
      <c r="A32" s="454">
        <v>24</v>
      </c>
      <c r="B32" s="351" t="s">
        <v>898</v>
      </c>
      <c r="C32" s="464">
        <v>124588</v>
      </c>
      <c r="D32" s="464">
        <v>69714</v>
      </c>
      <c r="E32" s="464">
        <v>0</v>
      </c>
      <c r="F32" s="464">
        <v>4242</v>
      </c>
      <c r="G32" s="464">
        <v>4242</v>
      </c>
      <c r="H32" s="465">
        <f t="shared" si="0"/>
        <v>3164.5351999999998</v>
      </c>
      <c r="I32" s="465">
        <f t="shared" si="1"/>
        <v>2656.1034</v>
      </c>
      <c r="J32" s="465">
        <f t="shared" si="2"/>
        <v>825.9436872</v>
      </c>
      <c r="K32" s="465">
        <f t="shared" si="3"/>
        <v>692.35761960000013</v>
      </c>
      <c r="L32" s="465">
        <f t="shared" si="4"/>
        <v>254.52</v>
      </c>
      <c r="M32" s="465">
        <f t="shared" si="5"/>
        <v>381.78</v>
      </c>
      <c r="N32" s="466">
        <f t="shared" si="6"/>
        <v>68.392503550000001</v>
      </c>
      <c r="O32" s="466">
        <f t="shared" si="7"/>
        <v>174.619158</v>
      </c>
      <c r="P32" s="466">
        <f t="shared" si="8"/>
        <v>54.427490145450001</v>
      </c>
      <c r="Q32" s="456"/>
      <c r="R32" s="456"/>
      <c r="T32" s="456"/>
    </row>
    <row r="33" spans="1:16" s="459" customFormat="1" x14ac:dyDescent="0.25">
      <c r="A33" s="1204" t="s">
        <v>15</v>
      </c>
      <c r="B33" s="1204"/>
      <c r="C33" s="467">
        <f t="shared" ref="C33:M33" si="9">SUM(C9:C32)</f>
        <v>2294782</v>
      </c>
      <c r="D33" s="467">
        <f t="shared" si="9"/>
        <v>997048</v>
      </c>
      <c r="E33" s="467">
        <f t="shared" si="9"/>
        <v>3400</v>
      </c>
      <c r="F33" s="467">
        <f t="shared" si="9"/>
        <v>81577</v>
      </c>
      <c r="G33" s="467">
        <f t="shared" si="9"/>
        <v>79591</v>
      </c>
      <c r="H33" s="468">
        <f t="shared" si="9"/>
        <v>58287.462800000001</v>
      </c>
      <c r="I33" s="468">
        <f t="shared" si="9"/>
        <v>38146.138800000001</v>
      </c>
      <c r="J33" s="468">
        <f t="shared" si="9"/>
        <v>15213.027790799999</v>
      </c>
      <c r="K33" s="468">
        <f t="shared" si="9"/>
        <v>9943.5597871999962</v>
      </c>
      <c r="L33" s="468">
        <f t="shared" si="9"/>
        <v>4775.46</v>
      </c>
      <c r="M33" s="468">
        <f t="shared" si="9"/>
        <v>7163.1900000000005</v>
      </c>
      <c r="N33" s="468">
        <f>SUM(N9:N32)</f>
        <v>1133.0948188</v>
      </c>
      <c r="O33" s="468">
        <f>SUM(O9:O32)</f>
        <v>2893.0080479999997</v>
      </c>
      <c r="P33" s="468">
        <f>SUM(P9:P32)</f>
        <v>916.87006200960002</v>
      </c>
    </row>
    <row r="35" spans="1:16" x14ac:dyDescent="0.25">
      <c r="A35" s="460" t="s">
        <v>195</v>
      </c>
      <c r="J35" s="456"/>
    </row>
    <row r="36" spans="1:16" x14ac:dyDescent="0.25">
      <c r="A36" s="1201" t="s">
        <v>1006</v>
      </c>
      <c r="B36" s="1201" t="s">
        <v>2</v>
      </c>
      <c r="C36" s="1203" t="s">
        <v>1007</v>
      </c>
      <c r="D36" s="1203"/>
      <c r="E36" s="1203"/>
      <c r="F36" s="1199" t="s">
        <v>1016</v>
      </c>
      <c r="G36" s="1200"/>
      <c r="H36" s="1203" t="s">
        <v>1017</v>
      </c>
      <c r="I36" s="1203"/>
    </row>
    <row r="37" spans="1:16" ht="60" x14ac:dyDescent="0.25">
      <c r="A37" s="1202"/>
      <c r="B37" s="1202"/>
      <c r="C37" s="452" t="s">
        <v>20</v>
      </c>
      <c r="D37" s="452" t="s">
        <v>21</v>
      </c>
      <c r="E37" s="452" t="s">
        <v>1014</v>
      </c>
      <c r="F37" s="452" t="s">
        <v>1018</v>
      </c>
      <c r="G37" s="452" t="s">
        <v>1014</v>
      </c>
      <c r="H37" s="452" t="s">
        <v>20</v>
      </c>
      <c r="I37" s="452" t="s">
        <v>1019</v>
      </c>
      <c r="N37" s="456"/>
    </row>
    <row r="38" spans="1:16" x14ac:dyDescent="0.25">
      <c r="A38" s="453"/>
      <c r="B38" s="453">
        <v>1</v>
      </c>
      <c r="C38" s="452">
        <v>2</v>
      </c>
      <c r="D38" s="453">
        <v>3</v>
      </c>
      <c r="E38" s="452">
        <v>4</v>
      </c>
      <c r="F38" s="453">
        <v>5</v>
      </c>
      <c r="G38" s="452">
        <v>6</v>
      </c>
      <c r="H38" s="453">
        <v>7</v>
      </c>
      <c r="I38" s="452">
        <v>8</v>
      </c>
      <c r="K38" s="456"/>
    </row>
    <row r="39" spans="1:16" x14ac:dyDescent="0.25">
      <c r="A39" s="454">
        <v>1</v>
      </c>
      <c r="B39" s="351" t="s">
        <v>875</v>
      </c>
      <c r="C39" s="464">
        <v>145867</v>
      </c>
      <c r="D39" s="464">
        <v>63080</v>
      </c>
      <c r="E39" s="464">
        <v>639</v>
      </c>
      <c r="F39" s="471">
        <v>5316</v>
      </c>
      <c r="G39" s="471">
        <v>4982</v>
      </c>
      <c r="H39" s="455">
        <f>C39*254*1.74/100000</f>
        <v>644.67379319999998</v>
      </c>
      <c r="I39" s="455">
        <f>D39*254*2.6/100000+E39*312*2.6/100000</f>
        <v>421.76388799999995</v>
      </c>
      <c r="K39" s="456"/>
    </row>
    <row r="40" spans="1:16" x14ac:dyDescent="0.25">
      <c r="A40" s="454">
        <v>2</v>
      </c>
      <c r="B40" s="351" t="s">
        <v>876</v>
      </c>
      <c r="C40" s="464">
        <v>49122</v>
      </c>
      <c r="D40" s="464">
        <v>17555</v>
      </c>
      <c r="E40" s="464">
        <v>0</v>
      </c>
      <c r="F40" s="471">
        <v>1637</v>
      </c>
      <c r="G40" s="471">
        <v>1627</v>
      </c>
      <c r="H40" s="455">
        <f t="shared" ref="H40:H62" si="10">C40*254*1.74/100000</f>
        <v>217.09959120000002</v>
      </c>
      <c r="I40" s="455">
        <f t="shared" ref="I40:I62" si="11">D40*254*2.6/100000+E40*312*2.6/100000</f>
        <v>115.93322000000001</v>
      </c>
      <c r="K40" s="456"/>
      <c r="N40" s="461"/>
      <c r="O40" s="462"/>
    </row>
    <row r="41" spans="1:16" x14ac:dyDescent="0.25">
      <c r="A41" s="454">
        <v>3</v>
      </c>
      <c r="B41" s="351" t="s">
        <v>877</v>
      </c>
      <c r="C41" s="464">
        <v>38542</v>
      </c>
      <c r="D41" s="464">
        <v>16093</v>
      </c>
      <c r="E41" s="464">
        <v>0</v>
      </c>
      <c r="F41" s="471">
        <v>1205</v>
      </c>
      <c r="G41" s="471">
        <v>1205</v>
      </c>
      <c r="H41" s="455">
        <f t="shared" si="10"/>
        <v>170.3402232</v>
      </c>
      <c r="I41" s="455">
        <f t="shared" si="11"/>
        <v>106.27817200000001</v>
      </c>
      <c r="K41" s="456"/>
      <c r="N41" s="456"/>
    </row>
    <row r="42" spans="1:16" x14ac:dyDescent="0.25">
      <c r="A42" s="454">
        <v>4</v>
      </c>
      <c r="B42" s="351" t="s">
        <v>878</v>
      </c>
      <c r="C42" s="464">
        <v>113969</v>
      </c>
      <c r="D42" s="464">
        <v>41238</v>
      </c>
      <c r="E42" s="464">
        <v>0</v>
      </c>
      <c r="F42" s="471">
        <v>3721</v>
      </c>
      <c r="G42" s="471">
        <v>3686</v>
      </c>
      <c r="H42" s="455">
        <f t="shared" si="10"/>
        <v>503.69739240000001</v>
      </c>
      <c r="I42" s="455">
        <f t="shared" si="11"/>
        <v>272.33575200000001</v>
      </c>
      <c r="K42" s="456"/>
    </row>
    <row r="43" spans="1:16" x14ac:dyDescent="0.25">
      <c r="A43" s="454">
        <v>5</v>
      </c>
      <c r="B43" s="351" t="s">
        <v>879</v>
      </c>
      <c r="C43" s="464">
        <v>59209</v>
      </c>
      <c r="D43" s="464">
        <v>23168</v>
      </c>
      <c r="E43" s="464">
        <v>0</v>
      </c>
      <c r="F43" s="471">
        <v>2269</v>
      </c>
      <c r="G43" s="471">
        <v>2093</v>
      </c>
      <c r="H43" s="455">
        <f t="shared" si="10"/>
        <v>261.68009640000002</v>
      </c>
      <c r="I43" s="455">
        <f t="shared" si="11"/>
        <v>153.00147200000001</v>
      </c>
      <c r="K43" s="456"/>
    </row>
    <row r="44" spans="1:16" x14ac:dyDescent="0.25">
      <c r="A44" s="454">
        <v>6</v>
      </c>
      <c r="B44" s="351" t="s">
        <v>880</v>
      </c>
      <c r="C44" s="464">
        <v>101358</v>
      </c>
      <c r="D44" s="464">
        <v>50246</v>
      </c>
      <c r="E44" s="464">
        <v>0</v>
      </c>
      <c r="F44" s="471">
        <v>3472</v>
      </c>
      <c r="G44" s="471">
        <v>3467</v>
      </c>
      <c r="H44" s="455">
        <f t="shared" si="10"/>
        <v>447.96181680000001</v>
      </c>
      <c r="I44" s="455">
        <f t="shared" si="11"/>
        <v>331.82458400000002</v>
      </c>
      <c r="K44" s="456"/>
    </row>
    <row r="45" spans="1:16" x14ac:dyDescent="0.25">
      <c r="A45" s="454">
        <v>7</v>
      </c>
      <c r="B45" s="351" t="s">
        <v>923</v>
      </c>
      <c r="C45" s="464">
        <v>66093</v>
      </c>
      <c r="D45" s="464">
        <v>32016</v>
      </c>
      <c r="E45" s="464">
        <v>0</v>
      </c>
      <c r="F45" s="471">
        <v>2850</v>
      </c>
      <c r="G45" s="471">
        <v>2687</v>
      </c>
      <c r="H45" s="455">
        <f t="shared" si="10"/>
        <v>292.10462280000002</v>
      </c>
      <c r="I45" s="455">
        <f t="shared" si="11"/>
        <v>211.43366400000002</v>
      </c>
      <c r="K45" s="456"/>
    </row>
    <row r="46" spans="1:16" x14ac:dyDescent="0.25">
      <c r="A46" s="454">
        <v>8</v>
      </c>
      <c r="B46" s="351" t="s">
        <v>882</v>
      </c>
      <c r="C46" s="464">
        <v>143483</v>
      </c>
      <c r="D46" s="464">
        <v>55485</v>
      </c>
      <c r="E46" s="464">
        <v>481</v>
      </c>
      <c r="F46" s="471">
        <v>3818</v>
      </c>
      <c r="G46" s="471">
        <v>3717</v>
      </c>
      <c r="H46" s="455">
        <f t="shared" si="10"/>
        <v>634.13746679999997</v>
      </c>
      <c r="I46" s="455">
        <f t="shared" si="11"/>
        <v>370.32481200000001</v>
      </c>
      <c r="K46" s="456"/>
    </row>
    <row r="47" spans="1:16" x14ac:dyDescent="0.25">
      <c r="A47" s="454">
        <v>9</v>
      </c>
      <c r="B47" s="351" t="s">
        <v>883</v>
      </c>
      <c r="C47" s="464">
        <v>187166</v>
      </c>
      <c r="D47" s="464">
        <v>85229</v>
      </c>
      <c r="E47" s="464">
        <v>0</v>
      </c>
      <c r="F47" s="471">
        <v>5569</v>
      </c>
      <c r="G47" s="471">
        <v>5569</v>
      </c>
      <c r="H47" s="455">
        <f t="shared" si="10"/>
        <v>827.19885360000001</v>
      </c>
      <c r="I47" s="455">
        <f t="shared" si="11"/>
        <v>562.85231599999997</v>
      </c>
      <c r="K47" s="456"/>
    </row>
    <row r="48" spans="1:16" x14ac:dyDescent="0.25">
      <c r="A48" s="454">
        <v>10</v>
      </c>
      <c r="B48" s="351" t="s">
        <v>884</v>
      </c>
      <c r="C48" s="464">
        <v>67441</v>
      </c>
      <c r="D48" s="464">
        <v>27130</v>
      </c>
      <c r="E48" s="464">
        <v>0</v>
      </c>
      <c r="F48" s="471">
        <v>2600</v>
      </c>
      <c r="G48" s="471">
        <v>2421</v>
      </c>
      <c r="H48" s="455">
        <f t="shared" si="10"/>
        <v>298.06224359999999</v>
      </c>
      <c r="I48" s="455">
        <f t="shared" si="11"/>
        <v>179.16651999999999</v>
      </c>
      <c r="K48" s="456"/>
    </row>
    <row r="49" spans="1:11" x14ac:dyDescent="0.25">
      <c r="A49" s="454">
        <v>11</v>
      </c>
      <c r="B49" s="351" t="s">
        <v>885</v>
      </c>
      <c r="C49" s="464">
        <v>107941</v>
      </c>
      <c r="D49" s="464">
        <v>45281</v>
      </c>
      <c r="E49" s="464">
        <v>988</v>
      </c>
      <c r="F49" s="471">
        <v>3429</v>
      </c>
      <c r="G49" s="471">
        <v>3429</v>
      </c>
      <c r="H49" s="455">
        <f t="shared" si="10"/>
        <v>477.05604360000001</v>
      </c>
      <c r="I49" s="455">
        <f t="shared" si="11"/>
        <v>307.05038000000002</v>
      </c>
      <c r="K49" s="456"/>
    </row>
    <row r="50" spans="1:11" x14ac:dyDescent="0.25">
      <c r="A50" s="454">
        <v>12</v>
      </c>
      <c r="B50" s="351" t="s">
        <v>886</v>
      </c>
      <c r="C50" s="464">
        <v>109322</v>
      </c>
      <c r="D50" s="464">
        <v>50641</v>
      </c>
      <c r="E50" s="464">
        <v>542</v>
      </c>
      <c r="F50" s="471">
        <v>3566</v>
      </c>
      <c r="G50" s="471">
        <v>3445</v>
      </c>
      <c r="H50" s="455">
        <f t="shared" si="10"/>
        <v>483.1595112</v>
      </c>
      <c r="I50" s="455">
        <f t="shared" si="11"/>
        <v>338.82986800000003</v>
      </c>
      <c r="K50" s="456"/>
    </row>
    <row r="51" spans="1:11" x14ac:dyDescent="0.25">
      <c r="A51" s="454">
        <v>13</v>
      </c>
      <c r="B51" s="351" t="s">
        <v>887</v>
      </c>
      <c r="C51" s="464">
        <v>46469</v>
      </c>
      <c r="D51" s="464">
        <v>24469</v>
      </c>
      <c r="E51" s="464">
        <v>0</v>
      </c>
      <c r="F51" s="471">
        <v>1738</v>
      </c>
      <c r="G51" s="471">
        <v>1704</v>
      </c>
      <c r="H51" s="455">
        <f t="shared" si="10"/>
        <v>205.37439239999998</v>
      </c>
      <c r="I51" s="455">
        <f t="shared" si="11"/>
        <v>161.593276</v>
      </c>
      <c r="K51" s="456"/>
    </row>
    <row r="52" spans="1:11" x14ac:dyDescent="0.25">
      <c r="A52" s="454">
        <v>14</v>
      </c>
      <c r="B52" s="351" t="s">
        <v>888</v>
      </c>
      <c r="C52" s="464">
        <v>50280</v>
      </c>
      <c r="D52" s="464">
        <v>24472</v>
      </c>
      <c r="E52" s="464">
        <v>0</v>
      </c>
      <c r="F52" s="471">
        <v>1516</v>
      </c>
      <c r="G52" s="471">
        <v>1506</v>
      </c>
      <c r="H52" s="455">
        <f t="shared" si="10"/>
        <v>222.217488</v>
      </c>
      <c r="I52" s="455">
        <f t="shared" si="11"/>
        <v>161.613088</v>
      </c>
      <c r="K52" s="456"/>
    </row>
    <row r="53" spans="1:11" x14ac:dyDescent="0.25">
      <c r="A53" s="454">
        <v>15</v>
      </c>
      <c r="B53" s="351" t="s">
        <v>924</v>
      </c>
      <c r="C53" s="464">
        <v>108268</v>
      </c>
      <c r="D53" s="464">
        <v>54562</v>
      </c>
      <c r="E53" s="464">
        <v>0</v>
      </c>
      <c r="F53" s="471">
        <v>4340</v>
      </c>
      <c r="G53" s="471">
        <v>3918</v>
      </c>
      <c r="H53" s="455">
        <f t="shared" si="10"/>
        <v>478.50125280000003</v>
      </c>
      <c r="I53" s="455">
        <f t="shared" si="11"/>
        <v>360.32744800000006</v>
      </c>
      <c r="K53" s="456"/>
    </row>
    <row r="54" spans="1:11" x14ac:dyDescent="0.25">
      <c r="A54" s="454">
        <v>16</v>
      </c>
      <c r="B54" s="351" t="s">
        <v>890</v>
      </c>
      <c r="C54" s="464">
        <v>165359</v>
      </c>
      <c r="D54" s="464">
        <v>62256</v>
      </c>
      <c r="E54" s="464">
        <v>0</v>
      </c>
      <c r="F54" s="471">
        <v>6995</v>
      </c>
      <c r="G54" s="471">
        <v>6959</v>
      </c>
      <c r="H54" s="455">
        <f t="shared" si="10"/>
        <v>730.82063640000001</v>
      </c>
      <c r="I54" s="455">
        <f t="shared" si="11"/>
        <v>411.13862399999999</v>
      </c>
      <c r="K54" s="456"/>
    </row>
    <row r="55" spans="1:11" x14ac:dyDescent="0.25">
      <c r="A55" s="454">
        <v>17</v>
      </c>
      <c r="B55" s="351" t="s">
        <v>891</v>
      </c>
      <c r="C55" s="464">
        <v>108106</v>
      </c>
      <c r="D55" s="464">
        <v>57075</v>
      </c>
      <c r="E55" s="464">
        <v>0</v>
      </c>
      <c r="F55" s="471">
        <v>3993</v>
      </c>
      <c r="G55" s="471">
        <v>3771</v>
      </c>
      <c r="H55" s="455">
        <f t="shared" si="10"/>
        <v>477.78527759999997</v>
      </c>
      <c r="I55" s="455">
        <f t="shared" si="11"/>
        <v>376.92329999999998</v>
      </c>
      <c r="K55" s="456"/>
    </row>
    <row r="56" spans="1:11" x14ac:dyDescent="0.25">
      <c r="A56" s="454">
        <v>18</v>
      </c>
      <c r="B56" s="351" t="s">
        <v>892</v>
      </c>
      <c r="C56" s="464">
        <v>93835</v>
      </c>
      <c r="D56" s="464">
        <v>47864</v>
      </c>
      <c r="E56" s="464">
        <v>0</v>
      </c>
      <c r="F56" s="471">
        <v>3862</v>
      </c>
      <c r="G56" s="471">
        <v>3862</v>
      </c>
      <c r="H56" s="455">
        <f t="shared" si="10"/>
        <v>414.713166</v>
      </c>
      <c r="I56" s="455">
        <f t="shared" si="11"/>
        <v>316.09385600000002</v>
      </c>
      <c r="K56" s="456"/>
    </row>
    <row r="57" spans="1:11" x14ac:dyDescent="0.25">
      <c r="A57" s="454">
        <v>19</v>
      </c>
      <c r="B57" s="351" t="s">
        <v>893</v>
      </c>
      <c r="C57" s="464">
        <v>86631</v>
      </c>
      <c r="D57" s="464">
        <v>35779</v>
      </c>
      <c r="E57" s="464">
        <v>506</v>
      </c>
      <c r="F57" s="471">
        <v>4640</v>
      </c>
      <c r="G57" s="471">
        <v>4640</v>
      </c>
      <c r="H57" s="455">
        <f t="shared" si="10"/>
        <v>382.87436759999997</v>
      </c>
      <c r="I57" s="455">
        <f t="shared" si="11"/>
        <v>240.38918800000002</v>
      </c>
      <c r="K57" s="456"/>
    </row>
    <row r="58" spans="1:11" x14ac:dyDescent="0.25">
      <c r="A58" s="454">
        <v>20</v>
      </c>
      <c r="B58" s="351" t="s">
        <v>894</v>
      </c>
      <c r="C58" s="464">
        <v>62264</v>
      </c>
      <c r="D58" s="464">
        <v>24890</v>
      </c>
      <c r="E58" s="464">
        <v>0</v>
      </c>
      <c r="F58" s="471">
        <v>2237</v>
      </c>
      <c r="G58" s="471">
        <v>2202</v>
      </c>
      <c r="H58" s="455">
        <f t="shared" si="10"/>
        <v>275.1819744</v>
      </c>
      <c r="I58" s="455">
        <f t="shared" si="11"/>
        <v>164.37356</v>
      </c>
      <c r="K58" s="456"/>
    </row>
    <row r="59" spans="1:11" x14ac:dyDescent="0.25">
      <c r="A59" s="454">
        <v>21</v>
      </c>
      <c r="B59" s="351" t="s">
        <v>925</v>
      </c>
      <c r="C59" s="464">
        <v>85470</v>
      </c>
      <c r="D59" s="464">
        <v>31956</v>
      </c>
      <c r="E59" s="464">
        <v>192</v>
      </c>
      <c r="F59" s="471">
        <v>3322</v>
      </c>
      <c r="G59" s="471">
        <v>3185</v>
      </c>
      <c r="H59" s="455">
        <f t="shared" si="10"/>
        <v>377.74321200000003</v>
      </c>
      <c r="I59" s="455">
        <f t="shared" si="11"/>
        <v>212.59492800000001</v>
      </c>
      <c r="K59" s="456"/>
    </row>
    <row r="60" spans="1:11" x14ac:dyDescent="0.25">
      <c r="A60" s="454">
        <v>22</v>
      </c>
      <c r="B60" s="351" t="s">
        <v>896</v>
      </c>
      <c r="C60" s="464">
        <v>64609</v>
      </c>
      <c r="D60" s="464">
        <v>17528</v>
      </c>
      <c r="E60" s="464">
        <v>52</v>
      </c>
      <c r="F60" s="471">
        <v>2030</v>
      </c>
      <c r="G60" s="471">
        <v>2068</v>
      </c>
      <c r="H60" s="455">
        <f t="shared" si="10"/>
        <v>285.54593640000002</v>
      </c>
      <c r="I60" s="455">
        <f t="shared" si="11"/>
        <v>116.17673600000001</v>
      </c>
      <c r="K60" s="456"/>
    </row>
    <row r="61" spans="1:11" x14ac:dyDescent="0.25">
      <c r="A61" s="454">
        <v>23</v>
      </c>
      <c r="B61" s="351" t="s">
        <v>926</v>
      </c>
      <c r="C61" s="464">
        <v>109390</v>
      </c>
      <c r="D61" s="464">
        <v>39321</v>
      </c>
      <c r="E61" s="464">
        <v>0</v>
      </c>
      <c r="F61" s="471">
        <v>3210</v>
      </c>
      <c r="G61" s="471">
        <v>3206</v>
      </c>
      <c r="H61" s="455">
        <f t="shared" si="10"/>
        <v>483.46004399999998</v>
      </c>
      <c r="I61" s="455">
        <f t="shared" si="11"/>
        <v>259.675884</v>
      </c>
      <c r="K61" s="456"/>
    </row>
    <row r="62" spans="1:11" x14ac:dyDescent="0.25">
      <c r="A62" s="454">
        <v>24</v>
      </c>
      <c r="B62" s="351" t="s">
        <v>898</v>
      </c>
      <c r="C62" s="464">
        <v>124588</v>
      </c>
      <c r="D62" s="464">
        <v>69714</v>
      </c>
      <c r="E62" s="464">
        <v>0</v>
      </c>
      <c r="F62" s="471">
        <v>4242</v>
      </c>
      <c r="G62" s="471">
        <v>4242</v>
      </c>
      <c r="H62" s="455">
        <f t="shared" si="10"/>
        <v>550.6291248</v>
      </c>
      <c r="I62" s="455">
        <f t="shared" si="11"/>
        <v>460.391256</v>
      </c>
      <c r="K62" s="456"/>
    </row>
    <row r="63" spans="1:11" x14ac:dyDescent="0.25">
      <c r="A63" s="1204" t="s">
        <v>15</v>
      </c>
      <c r="B63" s="1204"/>
      <c r="C63" s="457">
        <f>SUM(C39:C62)</f>
        <v>2294782</v>
      </c>
      <c r="D63" s="457">
        <f>SUM(D39:D62)</f>
        <v>997048</v>
      </c>
      <c r="E63" s="457">
        <f>SUM(E39:E62)</f>
        <v>3400</v>
      </c>
      <c r="F63" s="463"/>
      <c r="G63" s="463"/>
      <c r="H63" s="458">
        <f>SUM(H39:H62)</f>
        <v>10142.018527199998</v>
      </c>
      <c r="I63" s="458">
        <f>SUM(I39:I62)</f>
        <v>6612.0857920000017</v>
      </c>
    </row>
  </sheetData>
  <mergeCells count="22">
    <mergeCell ref="A1:P1"/>
    <mergeCell ref="A2:P2"/>
    <mergeCell ref="A3:P3"/>
    <mergeCell ref="A4:P4"/>
    <mergeCell ref="A6:A7"/>
    <mergeCell ref="C36:E36"/>
    <mergeCell ref="C6:E6"/>
    <mergeCell ref="N6:N7"/>
    <mergeCell ref="P6:P7"/>
    <mergeCell ref="O6:O7"/>
    <mergeCell ref="A63:B63"/>
    <mergeCell ref="J6:K6"/>
    <mergeCell ref="A33:B33"/>
    <mergeCell ref="A36:A37"/>
    <mergeCell ref="B36:B37"/>
    <mergeCell ref="G6:G7"/>
    <mergeCell ref="H6:I6"/>
    <mergeCell ref="B6:B7"/>
    <mergeCell ref="F6:F7"/>
    <mergeCell ref="L6:M6"/>
    <mergeCell ref="F36:G36"/>
    <mergeCell ref="H36:I36"/>
  </mergeCells>
  <printOptions horizontalCentered="1"/>
  <pageMargins left="0.25" right="0.25" top="0.75" bottom="0.75" header="0.3" footer="0.3"/>
  <pageSetup scale="75" orientation="landscape" r:id="rId1"/>
  <rowBreaks count="1" manualBreakCount="1">
    <brk id="34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4" zoomScale="85" zoomScaleNormal="85" workbookViewId="0">
      <selection activeCell="F9" sqref="F9:F32"/>
    </sheetView>
  </sheetViews>
  <sheetFormatPr defaultColWidth="21.42578125" defaultRowHeight="15" x14ac:dyDescent="0.25"/>
  <cols>
    <col min="1" max="1" width="6.28515625" style="450" bestFit="1" customWidth="1"/>
    <col min="2" max="2" width="21.42578125" style="450" customWidth="1"/>
    <col min="3" max="6" width="8.28515625" style="450" customWidth="1"/>
    <col min="7" max="12" width="10.140625" style="450" customWidth="1"/>
    <col min="13" max="15" width="9.5703125" style="450" customWidth="1"/>
    <col min="16" max="17" width="11.7109375" style="450" customWidth="1"/>
    <col min="18" max="254" width="9.140625" style="450" customWidth="1"/>
    <col min="255" max="255" width="6.28515625" style="450" bestFit="1" customWidth="1"/>
    <col min="256" max="16384" width="21.42578125" style="450"/>
  </cols>
  <sheetData>
    <row r="1" spans="1:19" ht="18.75" x14ac:dyDescent="0.3">
      <c r="A1" s="1205" t="s">
        <v>1003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19" ht="18.75" x14ac:dyDescent="0.3">
      <c r="A2" s="1205" t="s">
        <v>1004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</row>
    <row r="3" spans="1:19" ht="18.75" x14ac:dyDescent="0.3">
      <c r="A3" s="1205" t="s">
        <v>1005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</row>
    <row r="4" spans="1:19" ht="18.75" x14ac:dyDescent="0.3">
      <c r="A4" s="1205" t="s">
        <v>1021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</row>
    <row r="6" spans="1:19" s="451" customFormat="1" ht="42" customHeight="1" x14ac:dyDescent="0.2">
      <c r="A6" s="1201" t="s">
        <v>1006</v>
      </c>
      <c r="B6" s="1201" t="s">
        <v>2</v>
      </c>
      <c r="C6" s="1203" t="s">
        <v>1007</v>
      </c>
      <c r="D6" s="1203"/>
      <c r="E6" s="1201" t="s">
        <v>1008</v>
      </c>
      <c r="F6" s="1201" t="s">
        <v>1009</v>
      </c>
      <c r="G6" s="1199" t="s">
        <v>1010</v>
      </c>
      <c r="H6" s="1200"/>
      <c r="I6" s="1199" t="s">
        <v>120</v>
      </c>
      <c r="J6" s="1200"/>
      <c r="K6" s="1199" t="s">
        <v>1011</v>
      </c>
      <c r="L6" s="1200"/>
      <c r="M6" s="1203" t="s">
        <v>1012</v>
      </c>
      <c r="N6" s="1201" t="s">
        <v>1013</v>
      </c>
      <c r="O6" s="1201" t="s">
        <v>122</v>
      </c>
    </row>
    <row r="7" spans="1:19" s="451" customFormat="1" ht="30" x14ac:dyDescent="0.2">
      <c r="A7" s="1202"/>
      <c r="B7" s="1202"/>
      <c r="C7" s="452" t="s">
        <v>20</v>
      </c>
      <c r="D7" s="452" t="s">
        <v>21</v>
      </c>
      <c r="E7" s="1202"/>
      <c r="F7" s="1202"/>
      <c r="G7" s="452" t="s">
        <v>20</v>
      </c>
      <c r="H7" s="452" t="s">
        <v>21</v>
      </c>
      <c r="I7" s="452" t="s">
        <v>20</v>
      </c>
      <c r="J7" s="452" t="s">
        <v>21</v>
      </c>
      <c r="K7" s="452" t="s">
        <v>1015</v>
      </c>
      <c r="L7" s="452" t="s">
        <v>96</v>
      </c>
      <c r="M7" s="1203"/>
      <c r="N7" s="1202"/>
      <c r="O7" s="1202"/>
    </row>
    <row r="8" spans="1:19" s="451" customFormat="1" x14ac:dyDescent="0.2">
      <c r="A8" s="453">
        <v>1</v>
      </c>
      <c r="B8" s="453">
        <v>2</v>
      </c>
      <c r="C8" s="453">
        <v>3</v>
      </c>
      <c r="D8" s="453">
        <v>4</v>
      </c>
      <c r="E8" s="453">
        <v>6</v>
      </c>
      <c r="F8" s="453">
        <v>7</v>
      </c>
      <c r="G8" s="453">
        <v>8</v>
      </c>
      <c r="H8" s="453">
        <v>9</v>
      </c>
      <c r="I8" s="453">
        <v>10</v>
      </c>
      <c r="J8" s="453">
        <v>11</v>
      </c>
      <c r="K8" s="453">
        <v>12</v>
      </c>
      <c r="L8" s="453">
        <v>13</v>
      </c>
      <c r="M8" s="453">
        <v>14</v>
      </c>
      <c r="N8" s="453">
        <v>15</v>
      </c>
      <c r="O8" s="453">
        <v>16</v>
      </c>
    </row>
    <row r="9" spans="1:19" ht="15" customHeight="1" x14ac:dyDescent="0.25">
      <c r="A9" s="454">
        <v>1</v>
      </c>
      <c r="B9" s="351" t="s">
        <v>875</v>
      </c>
      <c r="C9" s="495">
        <v>145867</v>
      </c>
      <c r="D9" s="495">
        <v>63080</v>
      </c>
      <c r="E9" s="473">
        <v>5316</v>
      </c>
      <c r="F9" s="473">
        <v>4982</v>
      </c>
      <c r="G9" s="469">
        <f>C9*0.0001*25</f>
        <v>364.66750000000002</v>
      </c>
      <c r="H9" s="469">
        <f>D9*25*0.00015</f>
        <v>236.54999999999998</v>
      </c>
      <c r="I9" s="469">
        <f>C9*25*2.61/100000</f>
        <v>95.178217500000002</v>
      </c>
      <c r="J9" s="469">
        <f>D9*25*3.91/100000</f>
        <v>61.660699999999999</v>
      </c>
      <c r="K9" s="469">
        <f>E9*600*1/100000</f>
        <v>31.896000000000001</v>
      </c>
      <c r="L9" s="469">
        <f>E9*900*1/100000</f>
        <v>47.844000000000001</v>
      </c>
      <c r="M9" s="470">
        <f>G9*1175/100000+H9*1175/100000</f>
        <v>7.0643056250000003</v>
      </c>
      <c r="N9" s="470">
        <f>(G9+H9)*3000/100000</f>
        <v>18.036525000000001</v>
      </c>
      <c r="O9" s="470">
        <f>2.7/100*(I9+J9+K9+M9+N9)</f>
        <v>5.7735651993750006</v>
      </c>
      <c r="P9" s="456"/>
      <c r="Q9" s="456"/>
      <c r="S9" s="456"/>
    </row>
    <row r="10" spans="1:19" x14ac:dyDescent="0.25">
      <c r="A10" s="454">
        <v>2</v>
      </c>
      <c r="B10" s="351" t="s">
        <v>876</v>
      </c>
      <c r="C10" s="495">
        <v>49122</v>
      </c>
      <c r="D10" s="495">
        <v>17555</v>
      </c>
      <c r="E10" s="473">
        <v>1637</v>
      </c>
      <c r="F10" s="473">
        <v>1627</v>
      </c>
      <c r="G10" s="469">
        <f t="shared" ref="G10:G32" si="0">C10*0.0001*25</f>
        <v>122.80500000000001</v>
      </c>
      <c r="H10" s="469">
        <f t="shared" ref="H10:H32" si="1">D10*25*0.00015</f>
        <v>65.831249999999997</v>
      </c>
      <c r="I10" s="469">
        <f t="shared" ref="I10:I32" si="2">C10*25*2.61/100000</f>
        <v>32.052104999999997</v>
      </c>
      <c r="J10" s="469">
        <f t="shared" ref="J10:J32" si="3">D10*25*3.91/100000</f>
        <v>17.160012500000001</v>
      </c>
      <c r="K10" s="469">
        <f t="shared" ref="K10:K32" si="4">E10*600*1/100000</f>
        <v>9.8219999999999992</v>
      </c>
      <c r="L10" s="469">
        <f t="shared" ref="L10:L32" si="5">E10*900*1/100000</f>
        <v>14.733000000000001</v>
      </c>
      <c r="M10" s="470">
        <f t="shared" ref="M10:M32" si="6">G10*1175/100000+H10*1175/100000</f>
        <v>2.2164759375000003</v>
      </c>
      <c r="N10" s="470">
        <f t="shared" ref="N10:N32" si="7">(G10+H10)*3000/100000</f>
        <v>5.6590875</v>
      </c>
      <c r="O10" s="470">
        <f t="shared" ref="O10:O32" si="8">2.7/100*(I10+J10+K10+M10+N10)</f>
        <v>1.8065613853125002</v>
      </c>
      <c r="P10" s="456"/>
      <c r="Q10" s="456"/>
      <c r="S10" s="456"/>
    </row>
    <row r="11" spans="1:19" x14ac:dyDescent="0.25">
      <c r="A11" s="454">
        <v>3</v>
      </c>
      <c r="B11" s="351" t="s">
        <v>877</v>
      </c>
      <c r="C11" s="495">
        <v>38542</v>
      </c>
      <c r="D11" s="495">
        <v>16093</v>
      </c>
      <c r="E11" s="473">
        <v>1205</v>
      </c>
      <c r="F11" s="473">
        <v>1205</v>
      </c>
      <c r="G11" s="469">
        <f t="shared" si="0"/>
        <v>96.355000000000004</v>
      </c>
      <c r="H11" s="469">
        <f t="shared" si="1"/>
        <v>60.348749999999995</v>
      </c>
      <c r="I11" s="469">
        <f t="shared" si="2"/>
        <v>25.148655000000002</v>
      </c>
      <c r="J11" s="469">
        <f t="shared" si="3"/>
        <v>15.730907500000001</v>
      </c>
      <c r="K11" s="469">
        <f t="shared" si="4"/>
        <v>7.23</v>
      </c>
      <c r="L11" s="469">
        <f t="shared" si="5"/>
        <v>10.845000000000001</v>
      </c>
      <c r="M11" s="470">
        <f t="shared" si="6"/>
        <v>1.8412690625000001</v>
      </c>
      <c r="N11" s="470">
        <f t="shared" si="7"/>
        <v>4.7011125000000007</v>
      </c>
      <c r="O11" s="470">
        <f t="shared" si="8"/>
        <v>1.4756024896875004</v>
      </c>
      <c r="P11" s="456"/>
      <c r="Q11" s="456"/>
      <c r="S11" s="456"/>
    </row>
    <row r="12" spans="1:19" x14ac:dyDescent="0.25">
      <c r="A12" s="454">
        <v>4</v>
      </c>
      <c r="B12" s="351" t="s">
        <v>878</v>
      </c>
      <c r="C12" s="495">
        <v>0</v>
      </c>
      <c r="D12" s="495">
        <v>0</v>
      </c>
      <c r="E12" s="472">
        <v>0</v>
      </c>
      <c r="F12" s="472"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v>0</v>
      </c>
      <c r="L12" s="472">
        <v>0</v>
      </c>
      <c r="M12" s="472">
        <v>0</v>
      </c>
      <c r="N12" s="472">
        <v>0</v>
      </c>
      <c r="O12" s="472">
        <v>0</v>
      </c>
      <c r="P12" s="456"/>
      <c r="Q12" s="456"/>
      <c r="S12" s="456"/>
    </row>
    <row r="13" spans="1:19" x14ac:dyDescent="0.25">
      <c r="A13" s="454">
        <v>5</v>
      </c>
      <c r="B13" s="351" t="s">
        <v>879</v>
      </c>
      <c r="C13" s="495">
        <v>0</v>
      </c>
      <c r="D13" s="495">
        <v>0</v>
      </c>
      <c r="E13" s="472">
        <v>0</v>
      </c>
      <c r="F13" s="472">
        <v>0</v>
      </c>
      <c r="G13" s="472">
        <v>0</v>
      </c>
      <c r="H13" s="472">
        <v>0</v>
      </c>
      <c r="I13" s="472">
        <v>0</v>
      </c>
      <c r="J13" s="472">
        <v>0</v>
      </c>
      <c r="K13" s="472">
        <v>0</v>
      </c>
      <c r="L13" s="472">
        <v>0</v>
      </c>
      <c r="M13" s="472">
        <v>0</v>
      </c>
      <c r="N13" s="472">
        <v>0</v>
      </c>
      <c r="O13" s="472">
        <v>0</v>
      </c>
      <c r="P13" s="456"/>
      <c r="Q13" s="456"/>
      <c r="S13" s="456"/>
    </row>
    <row r="14" spans="1:19" x14ac:dyDescent="0.25">
      <c r="A14" s="454">
        <v>6</v>
      </c>
      <c r="B14" s="351" t="s">
        <v>880</v>
      </c>
      <c r="C14" s="495">
        <v>0</v>
      </c>
      <c r="D14" s="495">
        <v>0</v>
      </c>
      <c r="E14" s="472">
        <v>0</v>
      </c>
      <c r="F14" s="472">
        <v>0</v>
      </c>
      <c r="G14" s="472">
        <v>0</v>
      </c>
      <c r="H14" s="472">
        <v>0</v>
      </c>
      <c r="I14" s="472">
        <v>0</v>
      </c>
      <c r="J14" s="472">
        <v>0</v>
      </c>
      <c r="K14" s="472">
        <v>0</v>
      </c>
      <c r="L14" s="472">
        <v>0</v>
      </c>
      <c r="M14" s="472">
        <v>0</v>
      </c>
      <c r="N14" s="472">
        <v>0</v>
      </c>
      <c r="O14" s="472">
        <v>0</v>
      </c>
      <c r="P14" s="456"/>
      <c r="Q14" s="456"/>
      <c r="S14" s="456"/>
    </row>
    <row r="15" spans="1:19" x14ac:dyDescent="0.25">
      <c r="A15" s="454">
        <v>7</v>
      </c>
      <c r="B15" s="351" t="s">
        <v>923</v>
      </c>
      <c r="C15" s="495">
        <v>0</v>
      </c>
      <c r="D15" s="495">
        <v>0</v>
      </c>
      <c r="E15" s="472">
        <v>0</v>
      </c>
      <c r="F15" s="472">
        <v>0</v>
      </c>
      <c r="G15" s="472">
        <v>0</v>
      </c>
      <c r="H15" s="472">
        <v>0</v>
      </c>
      <c r="I15" s="472">
        <v>0</v>
      </c>
      <c r="J15" s="472">
        <v>0</v>
      </c>
      <c r="K15" s="472">
        <v>0</v>
      </c>
      <c r="L15" s="472">
        <v>0</v>
      </c>
      <c r="M15" s="472">
        <v>0</v>
      </c>
      <c r="N15" s="472">
        <v>0</v>
      </c>
      <c r="O15" s="472">
        <v>0</v>
      </c>
      <c r="P15" s="456"/>
      <c r="Q15" s="456"/>
      <c r="S15" s="456"/>
    </row>
    <row r="16" spans="1:19" x14ac:dyDescent="0.25">
      <c r="A16" s="454">
        <v>8</v>
      </c>
      <c r="B16" s="351" t="s">
        <v>882</v>
      </c>
      <c r="C16" s="495">
        <v>0</v>
      </c>
      <c r="D16" s="495">
        <v>0</v>
      </c>
      <c r="E16" s="472">
        <v>0</v>
      </c>
      <c r="F16" s="472">
        <v>0</v>
      </c>
      <c r="G16" s="472">
        <v>0</v>
      </c>
      <c r="H16" s="472">
        <v>0</v>
      </c>
      <c r="I16" s="472">
        <v>0</v>
      </c>
      <c r="J16" s="472">
        <v>0</v>
      </c>
      <c r="K16" s="472">
        <v>0</v>
      </c>
      <c r="L16" s="472">
        <v>0</v>
      </c>
      <c r="M16" s="472">
        <v>0</v>
      </c>
      <c r="N16" s="472">
        <v>0</v>
      </c>
      <c r="O16" s="472">
        <v>0</v>
      </c>
      <c r="P16" s="456"/>
      <c r="Q16" s="456"/>
      <c r="S16" s="456"/>
    </row>
    <row r="17" spans="1:19" x14ac:dyDescent="0.25">
      <c r="A17" s="454">
        <v>9</v>
      </c>
      <c r="B17" s="351" t="s">
        <v>883</v>
      </c>
      <c r="C17" s="495">
        <v>187166</v>
      </c>
      <c r="D17" s="495">
        <v>85229</v>
      </c>
      <c r="E17" s="473">
        <v>5569</v>
      </c>
      <c r="F17" s="473">
        <v>5569</v>
      </c>
      <c r="G17" s="469">
        <f t="shared" si="0"/>
        <v>467.91499999999996</v>
      </c>
      <c r="H17" s="469">
        <f t="shared" si="1"/>
        <v>319.60874999999999</v>
      </c>
      <c r="I17" s="469">
        <f t="shared" si="2"/>
        <v>122.125815</v>
      </c>
      <c r="J17" s="469">
        <f t="shared" si="3"/>
        <v>83.311347499999997</v>
      </c>
      <c r="K17" s="469">
        <f t="shared" si="4"/>
        <v>33.414000000000001</v>
      </c>
      <c r="L17" s="469">
        <f t="shared" si="5"/>
        <v>50.121000000000002</v>
      </c>
      <c r="M17" s="470">
        <f t="shared" si="6"/>
        <v>9.2534040624999996</v>
      </c>
      <c r="N17" s="470">
        <f t="shared" si="7"/>
        <v>23.625712499999999</v>
      </c>
      <c r="O17" s="470">
        <f t="shared" si="8"/>
        <v>7.3367175346875015</v>
      </c>
      <c r="P17" s="456"/>
      <c r="Q17" s="456"/>
      <c r="S17" s="456"/>
    </row>
    <row r="18" spans="1:19" x14ac:dyDescent="0.25">
      <c r="A18" s="454">
        <v>10</v>
      </c>
      <c r="B18" s="351" t="s">
        <v>884</v>
      </c>
      <c r="C18" s="495">
        <v>67441</v>
      </c>
      <c r="D18" s="495">
        <v>27130</v>
      </c>
      <c r="E18" s="473">
        <v>2600</v>
      </c>
      <c r="F18" s="473">
        <v>2421</v>
      </c>
      <c r="G18" s="469">
        <f t="shared" si="0"/>
        <v>168.60250000000002</v>
      </c>
      <c r="H18" s="469">
        <f t="shared" si="1"/>
        <v>101.7375</v>
      </c>
      <c r="I18" s="469">
        <f t="shared" si="2"/>
        <v>44.005252499999997</v>
      </c>
      <c r="J18" s="469">
        <f t="shared" si="3"/>
        <v>26.519575</v>
      </c>
      <c r="K18" s="469">
        <f t="shared" si="4"/>
        <v>15.6</v>
      </c>
      <c r="L18" s="469">
        <f t="shared" si="5"/>
        <v>23.4</v>
      </c>
      <c r="M18" s="470">
        <f t="shared" si="6"/>
        <v>3.1764950000000001</v>
      </c>
      <c r="N18" s="470">
        <f t="shared" si="7"/>
        <v>8.1102000000000007</v>
      </c>
      <c r="O18" s="470">
        <f t="shared" si="8"/>
        <v>2.6301111075000003</v>
      </c>
      <c r="P18" s="456"/>
      <c r="Q18" s="456"/>
      <c r="S18" s="456"/>
    </row>
    <row r="19" spans="1:19" x14ac:dyDescent="0.25">
      <c r="A19" s="454">
        <v>11</v>
      </c>
      <c r="B19" s="351" t="s">
        <v>885</v>
      </c>
      <c r="C19" s="495">
        <v>107941</v>
      </c>
      <c r="D19" s="495">
        <v>45281</v>
      </c>
      <c r="E19" s="473">
        <v>3429</v>
      </c>
      <c r="F19" s="473">
        <v>3429</v>
      </c>
      <c r="G19" s="469">
        <f t="shared" si="0"/>
        <v>269.85250000000002</v>
      </c>
      <c r="H19" s="469">
        <f t="shared" si="1"/>
        <v>169.80374999999998</v>
      </c>
      <c r="I19" s="469">
        <f t="shared" si="2"/>
        <v>70.431502499999993</v>
      </c>
      <c r="J19" s="469">
        <f t="shared" si="3"/>
        <v>44.2621775</v>
      </c>
      <c r="K19" s="469">
        <f t="shared" si="4"/>
        <v>20.574000000000002</v>
      </c>
      <c r="L19" s="469">
        <f t="shared" si="5"/>
        <v>30.861000000000001</v>
      </c>
      <c r="M19" s="470">
        <f t="shared" si="6"/>
        <v>5.1659609374999995</v>
      </c>
      <c r="N19" s="470">
        <f t="shared" si="7"/>
        <v>13.1896875</v>
      </c>
      <c r="O19" s="470">
        <f t="shared" si="8"/>
        <v>4.1478298678124998</v>
      </c>
      <c r="P19" s="456"/>
      <c r="Q19" s="456"/>
      <c r="S19" s="456"/>
    </row>
    <row r="20" spans="1:19" x14ac:dyDescent="0.25">
      <c r="A20" s="454">
        <v>12</v>
      </c>
      <c r="B20" s="351" t="s">
        <v>886</v>
      </c>
      <c r="C20" s="495">
        <v>0</v>
      </c>
      <c r="D20" s="495">
        <v>0</v>
      </c>
      <c r="E20" s="472">
        <v>0</v>
      </c>
      <c r="F20" s="472">
        <v>0</v>
      </c>
      <c r="G20" s="472">
        <v>0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0">
        <f t="shared" si="6"/>
        <v>0</v>
      </c>
      <c r="N20" s="472">
        <v>0</v>
      </c>
      <c r="O20" s="470">
        <f t="shared" si="8"/>
        <v>0</v>
      </c>
      <c r="P20" s="456"/>
      <c r="Q20" s="456"/>
      <c r="S20" s="456"/>
    </row>
    <row r="21" spans="1:19" x14ac:dyDescent="0.25">
      <c r="A21" s="454">
        <v>13</v>
      </c>
      <c r="B21" s="351" t="s">
        <v>887</v>
      </c>
      <c r="C21" s="495">
        <v>46469</v>
      </c>
      <c r="D21" s="495">
        <v>24469</v>
      </c>
      <c r="E21" s="473">
        <v>1738</v>
      </c>
      <c r="F21" s="473">
        <v>1704</v>
      </c>
      <c r="G21" s="469">
        <f t="shared" si="0"/>
        <v>116.17250000000001</v>
      </c>
      <c r="H21" s="469">
        <f t="shared" si="1"/>
        <v>91.758749999999992</v>
      </c>
      <c r="I21" s="469">
        <f t="shared" si="2"/>
        <v>30.321022500000002</v>
      </c>
      <c r="J21" s="469">
        <f t="shared" si="3"/>
        <v>23.918447499999999</v>
      </c>
      <c r="K21" s="469">
        <f t="shared" si="4"/>
        <v>10.428000000000001</v>
      </c>
      <c r="L21" s="469">
        <f t="shared" si="5"/>
        <v>15.641999999999999</v>
      </c>
      <c r="M21" s="470">
        <f t="shared" si="6"/>
        <v>2.4431921875000002</v>
      </c>
      <c r="N21" s="470">
        <f t="shared" si="7"/>
        <v>6.2379375000000001</v>
      </c>
      <c r="O21" s="470">
        <f t="shared" si="8"/>
        <v>1.9804121915625001</v>
      </c>
      <c r="P21" s="456"/>
      <c r="Q21" s="456"/>
      <c r="S21" s="456"/>
    </row>
    <row r="22" spans="1:19" x14ac:dyDescent="0.25">
      <c r="A22" s="454">
        <v>14</v>
      </c>
      <c r="B22" s="351" t="s">
        <v>888</v>
      </c>
      <c r="C22" s="495">
        <v>50280</v>
      </c>
      <c r="D22" s="495">
        <v>24472</v>
      </c>
      <c r="E22" s="473">
        <v>1516</v>
      </c>
      <c r="F22" s="473">
        <v>1506</v>
      </c>
      <c r="G22" s="469">
        <f t="shared" si="0"/>
        <v>125.70000000000002</v>
      </c>
      <c r="H22" s="469">
        <f t="shared" si="1"/>
        <v>91.77</v>
      </c>
      <c r="I22" s="469">
        <f t="shared" si="2"/>
        <v>32.807699999999997</v>
      </c>
      <c r="J22" s="469">
        <f t="shared" si="3"/>
        <v>23.921379999999999</v>
      </c>
      <c r="K22" s="469">
        <f t="shared" si="4"/>
        <v>9.0960000000000001</v>
      </c>
      <c r="L22" s="469">
        <f t="shared" si="5"/>
        <v>13.644</v>
      </c>
      <c r="M22" s="470">
        <f t="shared" si="6"/>
        <v>2.5552725000000001</v>
      </c>
      <c r="N22" s="470">
        <f t="shared" si="7"/>
        <v>6.5241000000000016</v>
      </c>
      <c r="O22" s="470">
        <f t="shared" si="8"/>
        <v>2.0224202175000006</v>
      </c>
      <c r="P22" s="456"/>
      <c r="Q22" s="456"/>
      <c r="S22" s="456"/>
    </row>
    <row r="23" spans="1:19" x14ac:dyDescent="0.25">
      <c r="A23" s="454">
        <v>15</v>
      </c>
      <c r="B23" s="351" t="s">
        <v>924</v>
      </c>
      <c r="C23" s="495">
        <v>108268</v>
      </c>
      <c r="D23" s="495">
        <v>54562</v>
      </c>
      <c r="E23" s="473">
        <v>4340</v>
      </c>
      <c r="F23" s="473">
        <v>3918</v>
      </c>
      <c r="G23" s="469">
        <f t="shared" si="0"/>
        <v>270.67</v>
      </c>
      <c r="H23" s="469">
        <f t="shared" si="1"/>
        <v>204.60749999999999</v>
      </c>
      <c r="I23" s="469">
        <f t="shared" si="2"/>
        <v>70.644869999999997</v>
      </c>
      <c r="J23" s="469">
        <f t="shared" si="3"/>
        <v>53.334355000000002</v>
      </c>
      <c r="K23" s="469">
        <f t="shared" si="4"/>
        <v>26.04</v>
      </c>
      <c r="L23" s="469">
        <f t="shared" si="5"/>
        <v>39.06</v>
      </c>
      <c r="M23" s="470">
        <f t="shared" si="6"/>
        <v>5.5845106250000001</v>
      </c>
      <c r="N23" s="470">
        <f t="shared" si="7"/>
        <v>14.258324999999999</v>
      </c>
      <c r="O23" s="470">
        <f t="shared" si="8"/>
        <v>4.5862756368750013</v>
      </c>
      <c r="P23" s="456"/>
      <c r="Q23" s="456"/>
      <c r="S23" s="456"/>
    </row>
    <row r="24" spans="1:19" x14ac:dyDescent="0.25">
      <c r="A24" s="454">
        <v>16</v>
      </c>
      <c r="B24" s="351" t="s">
        <v>890</v>
      </c>
      <c r="C24" s="495">
        <v>165359</v>
      </c>
      <c r="D24" s="495">
        <v>62256</v>
      </c>
      <c r="E24" s="473">
        <v>6995</v>
      </c>
      <c r="F24" s="473">
        <v>6959</v>
      </c>
      <c r="G24" s="469">
        <f t="shared" si="0"/>
        <v>413.39750000000004</v>
      </c>
      <c r="H24" s="469">
        <f t="shared" si="1"/>
        <v>233.45999999999998</v>
      </c>
      <c r="I24" s="469">
        <f t="shared" si="2"/>
        <v>107.8967475</v>
      </c>
      <c r="J24" s="469">
        <f t="shared" si="3"/>
        <v>60.855240000000002</v>
      </c>
      <c r="K24" s="469">
        <f t="shared" si="4"/>
        <v>41.97</v>
      </c>
      <c r="L24" s="469">
        <f t="shared" si="5"/>
        <v>62.954999999999998</v>
      </c>
      <c r="M24" s="470">
        <f t="shared" si="6"/>
        <v>7.6005756250000003</v>
      </c>
      <c r="N24" s="470">
        <f t="shared" si="7"/>
        <v>19.405725000000004</v>
      </c>
      <c r="O24" s="470">
        <f t="shared" si="8"/>
        <v>6.4186637793750005</v>
      </c>
      <c r="P24" s="456"/>
      <c r="Q24" s="456"/>
      <c r="S24" s="456"/>
    </row>
    <row r="25" spans="1:19" x14ac:dyDescent="0.25">
      <c r="A25" s="454">
        <v>17</v>
      </c>
      <c r="B25" s="351" t="s">
        <v>891</v>
      </c>
      <c r="C25" s="495">
        <v>108106</v>
      </c>
      <c r="D25" s="495">
        <v>57075</v>
      </c>
      <c r="E25" s="473">
        <v>3993</v>
      </c>
      <c r="F25" s="473">
        <v>3771</v>
      </c>
      <c r="G25" s="469">
        <f t="shared" si="0"/>
        <v>270.26500000000004</v>
      </c>
      <c r="H25" s="469">
        <f t="shared" si="1"/>
        <v>214.03124999999997</v>
      </c>
      <c r="I25" s="469">
        <f t="shared" si="2"/>
        <v>70.539164999999997</v>
      </c>
      <c r="J25" s="469">
        <f t="shared" si="3"/>
        <v>55.790812500000001</v>
      </c>
      <c r="K25" s="469">
        <f t="shared" si="4"/>
        <v>23.957999999999998</v>
      </c>
      <c r="L25" s="469">
        <f t="shared" si="5"/>
        <v>35.936999999999998</v>
      </c>
      <c r="M25" s="470">
        <f t="shared" si="6"/>
        <v>5.6904809375000003</v>
      </c>
      <c r="N25" s="470">
        <f t="shared" si="7"/>
        <v>14.5288875</v>
      </c>
      <c r="O25" s="470">
        <f t="shared" si="8"/>
        <v>4.6036983403125014</v>
      </c>
      <c r="P25" s="456"/>
      <c r="Q25" s="456"/>
      <c r="S25" s="456"/>
    </row>
    <row r="26" spans="1:19" x14ac:dyDescent="0.25">
      <c r="A26" s="454">
        <v>18</v>
      </c>
      <c r="B26" s="351" t="s">
        <v>892</v>
      </c>
      <c r="C26" s="495">
        <v>93835</v>
      </c>
      <c r="D26" s="495">
        <v>47864</v>
      </c>
      <c r="E26" s="473">
        <v>3862</v>
      </c>
      <c r="F26" s="473">
        <v>3862</v>
      </c>
      <c r="G26" s="469">
        <f t="shared" si="0"/>
        <v>234.58750000000001</v>
      </c>
      <c r="H26" s="469">
        <f t="shared" si="1"/>
        <v>179.48999999999998</v>
      </c>
      <c r="I26" s="469">
        <f t="shared" si="2"/>
        <v>61.227337499999997</v>
      </c>
      <c r="J26" s="469">
        <f t="shared" si="3"/>
        <v>46.787059999999997</v>
      </c>
      <c r="K26" s="469">
        <f t="shared" si="4"/>
        <v>23.172000000000001</v>
      </c>
      <c r="L26" s="469">
        <f t="shared" si="5"/>
        <v>34.758000000000003</v>
      </c>
      <c r="M26" s="470">
        <f t="shared" si="6"/>
        <v>4.8654106249999991</v>
      </c>
      <c r="N26" s="470">
        <f t="shared" si="7"/>
        <v>12.422325000000001</v>
      </c>
      <c r="O26" s="470">
        <f t="shared" si="8"/>
        <v>4.0088015943750008</v>
      </c>
      <c r="P26" s="456"/>
      <c r="Q26" s="456"/>
      <c r="S26" s="456"/>
    </row>
    <row r="27" spans="1:19" x14ac:dyDescent="0.25">
      <c r="A27" s="454">
        <v>19</v>
      </c>
      <c r="B27" s="351" t="s">
        <v>893</v>
      </c>
      <c r="C27" s="495">
        <v>86631</v>
      </c>
      <c r="D27" s="495">
        <v>35779</v>
      </c>
      <c r="E27" s="473">
        <v>4640</v>
      </c>
      <c r="F27" s="473">
        <v>4640</v>
      </c>
      <c r="G27" s="469">
        <f t="shared" si="0"/>
        <v>216.57749999999999</v>
      </c>
      <c r="H27" s="469">
        <f t="shared" si="1"/>
        <v>134.17124999999999</v>
      </c>
      <c r="I27" s="469">
        <f t="shared" si="2"/>
        <v>56.5267275</v>
      </c>
      <c r="J27" s="469">
        <f t="shared" si="3"/>
        <v>34.973972500000002</v>
      </c>
      <c r="K27" s="469">
        <f t="shared" si="4"/>
        <v>27.84</v>
      </c>
      <c r="L27" s="469">
        <f t="shared" si="5"/>
        <v>41.76</v>
      </c>
      <c r="M27" s="470">
        <f t="shared" si="6"/>
        <v>4.1212978124999999</v>
      </c>
      <c r="N27" s="470">
        <f t="shared" si="7"/>
        <v>10.5224625</v>
      </c>
      <c r="O27" s="470">
        <f t="shared" si="8"/>
        <v>3.6175804284375004</v>
      </c>
      <c r="P27" s="456"/>
      <c r="Q27" s="456"/>
      <c r="S27" s="456"/>
    </row>
    <row r="28" spans="1:19" x14ac:dyDescent="0.25">
      <c r="A28" s="454">
        <v>20</v>
      </c>
      <c r="B28" s="351" t="s">
        <v>894</v>
      </c>
      <c r="C28" s="495">
        <v>62264</v>
      </c>
      <c r="D28" s="495">
        <v>24890</v>
      </c>
      <c r="E28" s="473">
        <v>2237</v>
      </c>
      <c r="F28" s="473">
        <v>2202</v>
      </c>
      <c r="G28" s="469">
        <f t="shared" si="0"/>
        <v>155.66</v>
      </c>
      <c r="H28" s="469">
        <f t="shared" si="1"/>
        <v>93.337499999999991</v>
      </c>
      <c r="I28" s="469">
        <f t="shared" si="2"/>
        <v>40.62726</v>
      </c>
      <c r="J28" s="469">
        <f t="shared" si="3"/>
        <v>24.329975000000001</v>
      </c>
      <c r="K28" s="469">
        <f t="shared" si="4"/>
        <v>13.422000000000001</v>
      </c>
      <c r="L28" s="469">
        <f t="shared" si="5"/>
        <v>20.132999999999999</v>
      </c>
      <c r="M28" s="470">
        <f t="shared" si="6"/>
        <v>2.9257206249999999</v>
      </c>
      <c r="N28" s="470">
        <f t="shared" si="7"/>
        <v>7.4699249999999999</v>
      </c>
      <c r="O28" s="470">
        <f t="shared" si="8"/>
        <v>2.3969217768750002</v>
      </c>
      <c r="P28" s="456"/>
      <c r="Q28" s="456"/>
      <c r="S28" s="456"/>
    </row>
    <row r="29" spans="1:19" x14ac:dyDescent="0.25">
      <c r="A29" s="454">
        <v>21</v>
      </c>
      <c r="B29" s="351" t="s">
        <v>925</v>
      </c>
      <c r="C29" s="495">
        <v>85470</v>
      </c>
      <c r="D29" s="495">
        <v>31956</v>
      </c>
      <c r="E29" s="473">
        <v>3322</v>
      </c>
      <c r="F29" s="473">
        <v>3185</v>
      </c>
      <c r="G29" s="469">
        <f t="shared" si="0"/>
        <v>213.67500000000001</v>
      </c>
      <c r="H29" s="469">
        <f t="shared" si="1"/>
        <v>119.83499999999999</v>
      </c>
      <c r="I29" s="469">
        <f t="shared" si="2"/>
        <v>55.769174999999997</v>
      </c>
      <c r="J29" s="469">
        <f t="shared" si="3"/>
        <v>31.236989999999999</v>
      </c>
      <c r="K29" s="469">
        <f t="shared" si="4"/>
        <v>19.931999999999999</v>
      </c>
      <c r="L29" s="469">
        <f t="shared" si="5"/>
        <v>29.898</v>
      </c>
      <c r="M29" s="470">
        <f t="shared" si="6"/>
        <v>3.9187425000000005</v>
      </c>
      <c r="N29" s="470">
        <f t="shared" si="7"/>
        <v>10.0053</v>
      </c>
      <c r="O29" s="470">
        <f t="shared" si="8"/>
        <v>3.2632796025000008</v>
      </c>
      <c r="P29" s="456"/>
      <c r="Q29" s="456"/>
      <c r="S29" s="456"/>
    </row>
    <row r="30" spans="1:19" x14ac:dyDescent="0.25">
      <c r="A30" s="454">
        <v>22</v>
      </c>
      <c r="B30" s="351" t="s">
        <v>896</v>
      </c>
      <c r="C30" s="495">
        <v>64609</v>
      </c>
      <c r="D30" s="495">
        <v>17528</v>
      </c>
      <c r="E30" s="473">
        <v>2030</v>
      </c>
      <c r="F30" s="473">
        <v>2068</v>
      </c>
      <c r="G30" s="469">
        <f t="shared" si="0"/>
        <v>161.52250000000001</v>
      </c>
      <c r="H30" s="469">
        <f t="shared" si="1"/>
        <v>65.72999999999999</v>
      </c>
      <c r="I30" s="469">
        <f t="shared" si="2"/>
        <v>42.157372500000001</v>
      </c>
      <c r="J30" s="469">
        <f t="shared" si="3"/>
        <v>17.133620000000001</v>
      </c>
      <c r="K30" s="469">
        <f t="shared" si="4"/>
        <v>12.18</v>
      </c>
      <c r="L30" s="469">
        <f t="shared" si="5"/>
        <v>18.27</v>
      </c>
      <c r="M30" s="470">
        <f t="shared" si="6"/>
        <v>2.6702168749999999</v>
      </c>
      <c r="N30" s="470">
        <f t="shared" si="7"/>
        <v>6.8175749999999997</v>
      </c>
      <c r="O30" s="470">
        <f t="shared" si="8"/>
        <v>2.1858871781250002</v>
      </c>
      <c r="P30" s="456"/>
      <c r="Q30" s="456"/>
      <c r="S30" s="456"/>
    </row>
    <row r="31" spans="1:19" x14ac:dyDescent="0.25">
      <c r="A31" s="454">
        <v>23</v>
      </c>
      <c r="B31" s="351" t="s">
        <v>926</v>
      </c>
      <c r="C31" s="495">
        <v>109390</v>
      </c>
      <c r="D31" s="495">
        <v>39321</v>
      </c>
      <c r="E31" s="473">
        <v>3210</v>
      </c>
      <c r="F31" s="473">
        <v>3206</v>
      </c>
      <c r="G31" s="469">
        <f t="shared" si="0"/>
        <v>273.47500000000002</v>
      </c>
      <c r="H31" s="469">
        <f t="shared" si="1"/>
        <v>147.45374999999999</v>
      </c>
      <c r="I31" s="469">
        <f t="shared" si="2"/>
        <v>71.376975000000002</v>
      </c>
      <c r="J31" s="469">
        <f t="shared" si="3"/>
        <v>38.436277500000003</v>
      </c>
      <c r="K31" s="469">
        <f t="shared" si="4"/>
        <v>19.260000000000002</v>
      </c>
      <c r="L31" s="469">
        <f t="shared" si="5"/>
        <v>28.89</v>
      </c>
      <c r="M31" s="470">
        <f t="shared" si="6"/>
        <v>4.9459128124999996</v>
      </c>
      <c r="N31" s="470">
        <f t="shared" si="7"/>
        <v>12.627862500000001</v>
      </c>
      <c r="O31" s="470">
        <f t="shared" si="8"/>
        <v>3.9594697509375005</v>
      </c>
      <c r="P31" s="456"/>
      <c r="Q31" s="456"/>
      <c r="S31" s="456"/>
    </row>
    <row r="32" spans="1:19" x14ac:dyDescent="0.25">
      <c r="A32" s="454">
        <v>24</v>
      </c>
      <c r="B32" s="351" t="s">
        <v>898</v>
      </c>
      <c r="C32" s="495">
        <v>124588</v>
      </c>
      <c r="D32" s="495">
        <v>69714</v>
      </c>
      <c r="E32" s="474">
        <v>4242</v>
      </c>
      <c r="F32" s="474">
        <v>4242</v>
      </c>
      <c r="G32" s="469">
        <f t="shared" si="0"/>
        <v>311.47000000000003</v>
      </c>
      <c r="H32" s="469">
        <f t="shared" si="1"/>
        <v>261.42749999999995</v>
      </c>
      <c r="I32" s="469">
        <f t="shared" si="2"/>
        <v>81.293670000000006</v>
      </c>
      <c r="J32" s="469">
        <f t="shared" si="3"/>
        <v>68.145435000000006</v>
      </c>
      <c r="K32" s="469">
        <f t="shared" si="4"/>
        <v>25.452000000000002</v>
      </c>
      <c r="L32" s="469">
        <f t="shared" si="5"/>
        <v>38.177999999999997</v>
      </c>
      <c r="M32" s="470">
        <f t="shared" si="6"/>
        <v>6.7315456250000008</v>
      </c>
      <c r="N32" s="470">
        <f t="shared" si="7"/>
        <v>17.186924999999999</v>
      </c>
      <c r="O32" s="470">
        <f t="shared" si="8"/>
        <v>5.3678585418750009</v>
      </c>
      <c r="P32" s="456"/>
      <c r="Q32" s="456"/>
      <c r="S32" s="456"/>
    </row>
    <row r="33" spans="1:15" s="459" customFormat="1" x14ac:dyDescent="0.25">
      <c r="A33" s="1204" t="s">
        <v>15</v>
      </c>
      <c r="B33" s="1204"/>
      <c r="C33" s="457">
        <f t="shared" ref="C33:L33" si="9">SUM(C9:C32)</f>
        <v>1701348</v>
      </c>
      <c r="D33" s="457">
        <f t="shared" si="9"/>
        <v>744254</v>
      </c>
      <c r="E33" s="457">
        <f t="shared" si="9"/>
        <v>61881</v>
      </c>
      <c r="F33" s="457">
        <f t="shared" si="9"/>
        <v>60496</v>
      </c>
      <c r="G33" s="458">
        <f t="shared" si="9"/>
        <v>4253.37</v>
      </c>
      <c r="H33" s="458">
        <f t="shared" si="9"/>
        <v>2790.9524999999999</v>
      </c>
      <c r="I33" s="458">
        <f t="shared" si="9"/>
        <v>1110.1295699999998</v>
      </c>
      <c r="J33" s="458">
        <f t="shared" si="9"/>
        <v>727.50828499999989</v>
      </c>
      <c r="K33" s="458">
        <f t="shared" si="9"/>
        <v>371.286</v>
      </c>
      <c r="L33" s="458">
        <f t="shared" si="9"/>
        <v>556.92899999999997</v>
      </c>
      <c r="M33" s="458">
        <f>SUM(M9:M32)</f>
        <v>82.770789374999978</v>
      </c>
      <c r="N33" s="458">
        <f>SUM(N9:N32)</f>
        <v>211.32967500000001</v>
      </c>
      <c r="O33" s="458">
        <f>SUM(O9:O32)</f>
        <v>67.581656623125014</v>
      </c>
    </row>
    <row r="35" spans="1:15" x14ac:dyDescent="0.25">
      <c r="A35" s="460" t="s">
        <v>195</v>
      </c>
      <c r="I35" s="456"/>
    </row>
    <row r="36" spans="1:15" x14ac:dyDescent="0.25">
      <c r="A36" s="1201" t="s">
        <v>1006</v>
      </c>
      <c r="B36" s="1201" t="s">
        <v>2</v>
      </c>
      <c r="C36" s="1203" t="s">
        <v>1007</v>
      </c>
      <c r="D36" s="1203"/>
      <c r="E36" s="1199" t="s">
        <v>1016</v>
      </c>
      <c r="F36" s="1200"/>
      <c r="G36" s="1203" t="s">
        <v>1017</v>
      </c>
      <c r="H36" s="1203"/>
    </row>
    <row r="37" spans="1:15" ht="60" x14ac:dyDescent="0.25">
      <c r="A37" s="1202"/>
      <c r="B37" s="1202"/>
      <c r="C37" s="452" t="s">
        <v>20</v>
      </c>
      <c r="D37" s="452" t="s">
        <v>21</v>
      </c>
      <c r="E37" s="452" t="s">
        <v>1018</v>
      </c>
      <c r="F37" s="452" t="s">
        <v>1014</v>
      </c>
      <c r="G37" s="452" t="s">
        <v>20</v>
      </c>
      <c r="H37" s="452" t="s">
        <v>1019</v>
      </c>
      <c r="M37" s="456"/>
    </row>
    <row r="38" spans="1:15" x14ac:dyDescent="0.25">
      <c r="A38" s="453"/>
      <c r="B38" s="453">
        <v>1</v>
      </c>
      <c r="C38" s="452">
        <v>2</v>
      </c>
      <c r="D38" s="453">
        <v>3</v>
      </c>
      <c r="E38" s="453">
        <v>5</v>
      </c>
      <c r="F38" s="452">
        <v>6</v>
      </c>
      <c r="G38" s="453">
        <v>7</v>
      </c>
      <c r="H38" s="452">
        <v>8</v>
      </c>
      <c r="J38" s="456"/>
    </row>
    <row r="39" spans="1:15" x14ac:dyDescent="0.25">
      <c r="A39" s="454">
        <v>1</v>
      </c>
      <c r="B39" s="351" t="s">
        <v>875</v>
      </c>
      <c r="C39" s="495">
        <v>145867</v>
      </c>
      <c r="D39" s="495">
        <v>63080</v>
      </c>
      <c r="E39" s="475">
        <v>254</v>
      </c>
      <c r="F39" s="475">
        <v>312</v>
      </c>
      <c r="G39" s="476">
        <f>C39*25*1.74/100000</f>
        <v>63.452145000000002</v>
      </c>
      <c r="H39" s="476">
        <f>D39*25*2.6/100000</f>
        <v>41.002000000000002</v>
      </c>
      <c r="J39" s="456"/>
    </row>
    <row r="40" spans="1:15" x14ac:dyDescent="0.25">
      <c r="A40" s="454">
        <v>2</v>
      </c>
      <c r="B40" s="351" t="s">
        <v>876</v>
      </c>
      <c r="C40" s="495">
        <v>49122</v>
      </c>
      <c r="D40" s="495">
        <v>17555</v>
      </c>
      <c r="E40" s="475">
        <v>254</v>
      </c>
      <c r="F40" s="475">
        <v>312</v>
      </c>
      <c r="G40" s="476">
        <f t="shared" ref="G40:G62" si="10">C40*25*1.74/100000</f>
        <v>21.368069999999999</v>
      </c>
      <c r="H40" s="476">
        <f t="shared" ref="H40:H62" si="11">D40*25*2.6/100000</f>
        <v>11.41075</v>
      </c>
      <c r="J40" s="456"/>
      <c r="M40" s="461"/>
      <c r="N40" s="462"/>
    </row>
    <row r="41" spans="1:15" x14ac:dyDescent="0.25">
      <c r="A41" s="454">
        <v>3</v>
      </c>
      <c r="B41" s="351" t="s">
        <v>877</v>
      </c>
      <c r="C41" s="495">
        <v>38542</v>
      </c>
      <c r="D41" s="495">
        <v>16093</v>
      </c>
      <c r="E41" s="475">
        <v>254</v>
      </c>
      <c r="F41" s="475">
        <v>312</v>
      </c>
      <c r="G41" s="476">
        <f t="shared" si="10"/>
        <v>16.76577</v>
      </c>
      <c r="H41" s="476">
        <f t="shared" si="11"/>
        <v>10.46045</v>
      </c>
      <c r="J41" s="456"/>
      <c r="M41" s="456"/>
    </row>
    <row r="42" spans="1:15" x14ac:dyDescent="0.25">
      <c r="A42" s="454">
        <v>4</v>
      </c>
      <c r="B42" s="351" t="s">
        <v>878</v>
      </c>
      <c r="C42" s="495">
        <v>0</v>
      </c>
      <c r="D42" s="495">
        <v>0</v>
      </c>
      <c r="E42" s="475">
        <v>254</v>
      </c>
      <c r="F42" s="475">
        <v>312</v>
      </c>
      <c r="G42" s="476">
        <f t="shared" si="10"/>
        <v>0</v>
      </c>
      <c r="H42" s="476">
        <f t="shared" si="11"/>
        <v>0</v>
      </c>
      <c r="J42" s="456"/>
    </row>
    <row r="43" spans="1:15" x14ac:dyDescent="0.25">
      <c r="A43" s="454">
        <v>5</v>
      </c>
      <c r="B43" s="351" t="s">
        <v>879</v>
      </c>
      <c r="C43" s="495">
        <v>0</v>
      </c>
      <c r="D43" s="495">
        <v>0</v>
      </c>
      <c r="E43" s="475">
        <v>254</v>
      </c>
      <c r="F43" s="475">
        <v>312</v>
      </c>
      <c r="G43" s="476">
        <f t="shared" si="10"/>
        <v>0</v>
      </c>
      <c r="H43" s="476">
        <f t="shared" si="11"/>
        <v>0</v>
      </c>
      <c r="J43" s="456"/>
    </row>
    <row r="44" spans="1:15" x14ac:dyDescent="0.25">
      <c r="A44" s="454">
        <v>6</v>
      </c>
      <c r="B44" s="351" t="s">
        <v>880</v>
      </c>
      <c r="C44" s="495">
        <v>0</v>
      </c>
      <c r="D44" s="495">
        <v>0</v>
      </c>
      <c r="E44" s="475">
        <v>254</v>
      </c>
      <c r="F44" s="475">
        <v>312</v>
      </c>
      <c r="G44" s="476">
        <f t="shared" si="10"/>
        <v>0</v>
      </c>
      <c r="H44" s="476">
        <f t="shared" si="11"/>
        <v>0</v>
      </c>
      <c r="J44" s="456"/>
    </row>
    <row r="45" spans="1:15" x14ac:dyDescent="0.25">
      <c r="A45" s="454">
        <v>7</v>
      </c>
      <c r="B45" s="351" t="s">
        <v>923</v>
      </c>
      <c r="C45" s="495">
        <v>0</v>
      </c>
      <c r="D45" s="495">
        <v>0</v>
      </c>
      <c r="E45" s="475">
        <v>254</v>
      </c>
      <c r="F45" s="475">
        <v>312</v>
      </c>
      <c r="G45" s="476">
        <f t="shared" si="10"/>
        <v>0</v>
      </c>
      <c r="H45" s="476">
        <f t="shared" si="11"/>
        <v>0</v>
      </c>
      <c r="J45" s="456"/>
    </row>
    <row r="46" spans="1:15" x14ac:dyDescent="0.25">
      <c r="A46" s="454">
        <v>8</v>
      </c>
      <c r="B46" s="351" t="s">
        <v>882</v>
      </c>
      <c r="C46" s="495">
        <v>0</v>
      </c>
      <c r="D46" s="495">
        <v>0</v>
      </c>
      <c r="E46" s="475">
        <v>254</v>
      </c>
      <c r="F46" s="475">
        <v>312</v>
      </c>
      <c r="G46" s="476">
        <f t="shared" si="10"/>
        <v>0</v>
      </c>
      <c r="H46" s="476">
        <f t="shared" si="11"/>
        <v>0</v>
      </c>
      <c r="J46" s="456"/>
    </row>
    <row r="47" spans="1:15" x14ac:dyDescent="0.25">
      <c r="A47" s="454">
        <v>9</v>
      </c>
      <c r="B47" s="351" t="s">
        <v>883</v>
      </c>
      <c r="C47" s="495">
        <v>187166</v>
      </c>
      <c r="D47" s="495">
        <v>85229</v>
      </c>
      <c r="E47" s="475">
        <v>254</v>
      </c>
      <c r="F47" s="475">
        <v>312</v>
      </c>
      <c r="G47" s="476">
        <f t="shared" si="10"/>
        <v>81.417209999999997</v>
      </c>
      <c r="H47" s="476">
        <f t="shared" si="11"/>
        <v>55.398850000000003</v>
      </c>
      <c r="J47" s="456"/>
    </row>
    <row r="48" spans="1:15" x14ac:dyDescent="0.25">
      <c r="A48" s="454">
        <v>10</v>
      </c>
      <c r="B48" s="351" t="s">
        <v>884</v>
      </c>
      <c r="C48" s="495">
        <v>67441</v>
      </c>
      <c r="D48" s="495">
        <v>27130</v>
      </c>
      <c r="E48" s="475">
        <v>254</v>
      </c>
      <c r="F48" s="475">
        <v>312</v>
      </c>
      <c r="G48" s="476">
        <f t="shared" si="10"/>
        <v>29.336835000000001</v>
      </c>
      <c r="H48" s="476">
        <f t="shared" si="11"/>
        <v>17.634499999999999</v>
      </c>
      <c r="J48" s="456"/>
    </row>
    <row r="49" spans="1:10" x14ac:dyDescent="0.25">
      <c r="A49" s="454">
        <v>11</v>
      </c>
      <c r="B49" s="351" t="s">
        <v>885</v>
      </c>
      <c r="C49" s="495">
        <v>107941</v>
      </c>
      <c r="D49" s="495">
        <v>45281</v>
      </c>
      <c r="E49" s="475">
        <v>254</v>
      </c>
      <c r="F49" s="475">
        <v>312</v>
      </c>
      <c r="G49" s="476">
        <f t="shared" si="10"/>
        <v>46.954335</v>
      </c>
      <c r="H49" s="476">
        <f t="shared" si="11"/>
        <v>29.432649999999999</v>
      </c>
      <c r="J49" s="456"/>
    </row>
    <row r="50" spans="1:10" x14ac:dyDescent="0.25">
      <c r="A50" s="454">
        <v>12</v>
      </c>
      <c r="B50" s="351" t="s">
        <v>886</v>
      </c>
      <c r="C50" s="495">
        <v>0</v>
      </c>
      <c r="D50" s="495">
        <v>0</v>
      </c>
      <c r="E50" s="475">
        <v>254</v>
      </c>
      <c r="F50" s="475">
        <v>312</v>
      </c>
      <c r="G50" s="476">
        <f t="shared" si="10"/>
        <v>0</v>
      </c>
      <c r="H50" s="476">
        <f t="shared" si="11"/>
        <v>0</v>
      </c>
      <c r="J50" s="456"/>
    </row>
    <row r="51" spans="1:10" x14ac:dyDescent="0.25">
      <c r="A51" s="454">
        <v>13</v>
      </c>
      <c r="B51" s="351" t="s">
        <v>887</v>
      </c>
      <c r="C51" s="495">
        <v>46469</v>
      </c>
      <c r="D51" s="495">
        <v>24469</v>
      </c>
      <c r="E51" s="475">
        <v>254</v>
      </c>
      <c r="F51" s="475">
        <v>312</v>
      </c>
      <c r="G51" s="476">
        <f t="shared" si="10"/>
        <v>20.214015</v>
      </c>
      <c r="H51" s="476">
        <f t="shared" si="11"/>
        <v>15.90485</v>
      </c>
      <c r="J51" s="456"/>
    </row>
    <row r="52" spans="1:10" x14ac:dyDescent="0.25">
      <c r="A52" s="454">
        <v>14</v>
      </c>
      <c r="B52" s="351" t="s">
        <v>888</v>
      </c>
      <c r="C52" s="495">
        <v>50280</v>
      </c>
      <c r="D52" s="495">
        <v>24472</v>
      </c>
      <c r="E52" s="475">
        <v>254</v>
      </c>
      <c r="F52" s="475">
        <v>312</v>
      </c>
      <c r="G52" s="476">
        <f t="shared" si="10"/>
        <v>21.8718</v>
      </c>
      <c r="H52" s="476">
        <f t="shared" si="11"/>
        <v>15.9068</v>
      </c>
      <c r="J52" s="456"/>
    </row>
    <row r="53" spans="1:10" x14ac:dyDescent="0.25">
      <c r="A53" s="454">
        <v>15</v>
      </c>
      <c r="B53" s="351" t="s">
        <v>924</v>
      </c>
      <c r="C53" s="495">
        <v>108268</v>
      </c>
      <c r="D53" s="495">
        <v>54562</v>
      </c>
      <c r="E53" s="475">
        <v>254</v>
      </c>
      <c r="F53" s="475">
        <v>312</v>
      </c>
      <c r="G53" s="476">
        <f t="shared" si="10"/>
        <v>47.096580000000003</v>
      </c>
      <c r="H53" s="476">
        <f t="shared" si="11"/>
        <v>35.465299999999999</v>
      </c>
      <c r="J53" s="456"/>
    </row>
    <row r="54" spans="1:10" x14ac:dyDescent="0.25">
      <c r="A54" s="454">
        <v>16</v>
      </c>
      <c r="B54" s="351" t="s">
        <v>890</v>
      </c>
      <c r="C54" s="495">
        <v>165359</v>
      </c>
      <c r="D54" s="495">
        <v>62256</v>
      </c>
      <c r="E54" s="475">
        <v>254</v>
      </c>
      <c r="F54" s="475">
        <v>312</v>
      </c>
      <c r="G54" s="476">
        <f t="shared" si="10"/>
        <v>71.931164999999993</v>
      </c>
      <c r="H54" s="476">
        <f t="shared" si="11"/>
        <v>40.4664</v>
      </c>
      <c r="J54" s="456"/>
    </row>
    <row r="55" spans="1:10" x14ac:dyDescent="0.25">
      <c r="A55" s="454">
        <v>17</v>
      </c>
      <c r="B55" s="351" t="s">
        <v>891</v>
      </c>
      <c r="C55" s="495">
        <v>108106</v>
      </c>
      <c r="D55" s="495">
        <v>57075</v>
      </c>
      <c r="E55" s="475">
        <v>254</v>
      </c>
      <c r="F55" s="475">
        <v>312</v>
      </c>
      <c r="G55" s="476">
        <f t="shared" si="10"/>
        <v>47.026110000000003</v>
      </c>
      <c r="H55" s="476">
        <f t="shared" si="11"/>
        <v>37.098750000000003</v>
      </c>
      <c r="J55" s="456"/>
    </row>
    <row r="56" spans="1:10" x14ac:dyDescent="0.25">
      <c r="A56" s="454">
        <v>18</v>
      </c>
      <c r="B56" s="351" t="s">
        <v>892</v>
      </c>
      <c r="C56" s="495">
        <v>93835</v>
      </c>
      <c r="D56" s="495">
        <v>47864</v>
      </c>
      <c r="E56" s="475">
        <v>254</v>
      </c>
      <c r="F56" s="475">
        <v>312</v>
      </c>
      <c r="G56" s="476">
        <f t="shared" si="10"/>
        <v>40.818224999999998</v>
      </c>
      <c r="H56" s="476">
        <f t="shared" si="11"/>
        <v>31.111599999999999</v>
      </c>
      <c r="J56" s="456"/>
    </row>
    <row r="57" spans="1:10" x14ac:dyDescent="0.25">
      <c r="A57" s="454">
        <v>19</v>
      </c>
      <c r="B57" s="351" t="s">
        <v>893</v>
      </c>
      <c r="C57" s="495">
        <v>86631</v>
      </c>
      <c r="D57" s="495">
        <v>35779</v>
      </c>
      <c r="E57" s="475">
        <v>254</v>
      </c>
      <c r="F57" s="475">
        <v>312</v>
      </c>
      <c r="G57" s="476">
        <f t="shared" si="10"/>
        <v>37.684485000000002</v>
      </c>
      <c r="H57" s="476">
        <f t="shared" si="11"/>
        <v>23.256350000000001</v>
      </c>
      <c r="J57" s="456"/>
    </row>
    <row r="58" spans="1:10" x14ac:dyDescent="0.25">
      <c r="A58" s="454">
        <v>20</v>
      </c>
      <c r="B58" s="351" t="s">
        <v>894</v>
      </c>
      <c r="C58" s="495">
        <v>62264</v>
      </c>
      <c r="D58" s="495">
        <v>24890</v>
      </c>
      <c r="E58" s="475">
        <v>254</v>
      </c>
      <c r="F58" s="475">
        <v>312</v>
      </c>
      <c r="G58" s="476">
        <f t="shared" si="10"/>
        <v>27.08484</v>
      </c>
      <c r="H58" s="476">
        <f t="shared" si="11"/>
        <v>16.1785</v>
      </c>
      <c r="J58" s="456"/>
    </row>
    <row r="59" spans="1:10" x14ac:dyDescent="0.25">
      <c r="A59" s="454">
        <v>21</v>
      </c>
      <c r="B59" s="351" t="s">
        <v>925</v>
      </c>
      <c r="C59" s="495">
        <v>85470</v>
      </c>
      <c r="D59" s="495">
        <v>31956</v>
      </c>
      <c r="E59" s="475">
        <v>254</v>
      </c>
      <c r="F59" s="475">
        <v>312</v>
      </c>
      <c r="G59" s="476">
        <f t="shared" si="10"/>
        <v>37.179450000000003</v>
      </c>
      <c r="H59" s="476">
        <f t="shared" si="11"/>
        <v>20.7714</v>
      </c>
      <c r="J59" s="456"/>
    </row>
    <row r="60" spans="1:10" x14ac:dyDescent="0.25">
      <c r="A60" s="454">
        <v>22</v>
      </c>
      <c r="B60" s="351" t="s">
        <v>896</v>
      </c>
      <c r="C60" s="495">
        <v>64609</v>
      </c>
      <c r="D60" s="495">
        <v>17528</v>
      </c>
      <c r="E60" s="475">
        <v>254</v>
      </c>
      <c r="F60" s="475">
        <v>312</v>
      </c>
      <c r="G60" s="476">
        <f t="shared" si="10"/>
        <v>28.104914999999998</v>
      </c>
      <c r="H60" s="476">
        <f t="shared" si="11"/>
        <v>11.3932</v>
      </c>
      <c r="J60" s="456"/>
    </row>
    <row r="61" spans="1:10" x14ac:dyDescent="0.25">
      <c r="A61" s="454">
        <v>23</v>
      </c>
      <c r="B61" s="351" t="s">
        <v>926</v>
      </c>
      <c r="C61" s="495">
        <v>109390</v>
      </c>
      <c r="D61" s="495">
        <v>39321</v>
      </c>
      <c r="E61" s="475">
        <v>254</v>
      </c>
      <c r="F61" s="475">
        <v>312</v>
      </c>
      <c r="G61" s="476">
        <f t="shared" si="10"/>
        <v>47.584650000000003</v>
      </c>
      <c r="H61" s="476">
        <f t="shared" si="11"/>
        <v>25.55865</v>
      </c>
      <c r="J61" s="456"/>
    </row>
    <row r="62" spans="1:10" x14ac:dyDescent="0.25">
      <c r="A62" s="454">
        <v>24</v>
      </c>
      <c r="B62" s="351" t="s">
        <v>898</v>
      </c>
      <c r="C62" s="495">
        <v>124588</v>
      </c>
      <c r="D62" s="495">
        <v>69714</v>
      </c>
      <c r="E62" s="475">
        <v>254</v>
      </c>
      <c r="F62" s="475">
        <v>312</v>
      </c>
      <c r="G62" s="476">
        <f t="shared" si="10"/>
        <v>54.195779999999999</v>
      </c>
      <c r="H62" s="476">
        <f t="shared" si="11"/>
        <v>45.314100000000003</v>
      </c>
      <c r="J62" s="456"/>
    </row>
    <row r="63" spans="1:10" x14ac:dyDescent="0.25">
      <c r="A63" s="1204" t="s">
        <v>15</v>
      </c>
      <c r="B63" s="1204"/>
      <c r="C63" s="457">
        <f>SUM(C39:C62)</f>
        <v>1701348</v>
      </c>
      <c r="D63" s="457">
        <f>SUM(D39:D62)</f>
        <v>744254</v>
      </c>
      <c r="E63" s="463"/>
      <c r="F63" s="463"/>
      <c r="G63" s="458">
        <f>SUM(G39:G62)</f>
        <v>740.08638000000008</v>
      </c>
      <c r="H63" s="458">
        <f>SUM(H39:H62)</f>
        <v>483.76509999999996</v>
      </c>
    </row>
  </sheetData>
  <mergeCells count="22">
    <mergeCell ref="A1:O1"/>
    <mergeCell ref="A2:O2"/>
    <mergeCell ref="A3:O3"/>
    <mergeCell ref="A4:O4"/>
    <mergeCell ref="A6:A7"/>
    <mergeCell ref="C36:D36"/>
    <mergeCell ref="C6:D6"/>
    <mergeCell ref="M6:M7"/>
    <mergeCell ref="O6:O7"/>
    <mergeCell ref="N6:N7"/>
    <mergeCell ref="A63:B63"/>
    <mergeCell ref="I6:J6"/>
    <mergeCell ref="A33:B33"/>
    <mergeCell ref="A36:A37"/>
    <mergeCell ref="B36:B37"/>
    <mergeCell ref="F6:F7"/>
    <mergeCell ref="G6:H6"/>
    <mergeCell ref="B6:B7"/>
    <mergeCell ref="E6:E7"/>
    <mergeCell ref="K6:L6"/>
    <mergeCell ref="E36:F36"/>
    <mergeCell ref="G36:H36"/>
  </mergeCells>
  <printOptions horizontalCentered="1"/>
  <pageMargins left="0.25" right="0.25" top="0.75" bottom="0.75" header="0.3" footer="0.3"/>
  <pageSetup scale="75" orientation="landscape" r:id="rId1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topLeftCell="A19" zoomScaleNormal="100" zoomScaleSheetLayoutView="100" workbookViewId="0">
      <selection activeCell="A44" sqref="A44:O47"/>
    </sheetView>
  </sheetViews>
  <sheetFormatPr defaultRowHeight="12.75" x14ac:dyDescent="0.2"/>
  <cols>
    <col min="1" max="1" width="8" customWidth="1"/>
    <col min="2" max="2" width="16" bestFit="1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2.85546875" customWidth="1"/>
  </cols>
  <sheetData>
    <row r="1" spans="1:19" ht="12.75" customHeight="1" x14ac:dyDescent="0.2">
      <c r="D1" s="792"/>
      <c r="E1" s="792"/>
      <c r="F1" s="792"/>
      <c r="G1" s="792"/>
      <c r="H1" s="792"/>
      <c r="I1" s="792"/>
      <c r="L1" s="871" t="s">
        <v>83</v>
      </c>
      <c r="M1" s="871"/>
    </row>
    <row r="2" spans="1:19" ht="15.75" x14ac:dyDescent="0.25">
      <c r="A2" s="788" t="s">
        <v>0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</row>
    <row r="3" spans="1:19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9" ht="11.25" customHeight="1" x14ac:dyDescent="0.2"/>
    <row r="5" spans="1:19" ht="15.75" x14ac:dyDescent="0.25">
      <c r="A5" s="788" t="s">
        <v>735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7" spans="1:19" x14ac:dyDescent="0.2">
      <c r="A7" s="33" t="s">
        <v>1098</v>
      </c>
      <c r="B7" s="33"/>
      <c r="K7" s="105"/>
    </row>
    <row r="8" spans="1:19" x14ac:dyDescent="0.2">
      <c r="A8" s="30"/>
      <c r="B8" s="30"/>
      <c r="K8" s="94"/>
      <c r="L8" s="872" t="s">
        <v>772</v>
      </c>
      <c r="M8" s="872"/>
      <c r="N8" s="872"/>
    </row>
    <row r="9" spans="1:19" ht="15.75" customHeight="1" x14ac:dyDescent="0.2">
      <c r="A9" s="727" t="s">
        <v>1</v>
      </c>
      <c r="B9" s="727" t="s">
        <v>2</v>
      </c>
      <c r="C9" s="725" t="s">
        <v>3</v>
      </c>
      <c r="D9" s="725"/>
      <c r="E9" s="725"/>
      <c r="F9" s="733"/>
      <c r="G9" s="877"/>
      <c r="H9" s="734" t="s">
        <v>97</v>
      </c>
      <c r="I9" s="734"/>
      <c r="J9" s="734"/>
      <c r="K9" s="734"/>
      <c r="L9" s="734"/>
      <c r="M9" s="727" t="s">
        <v>127</v>
      </c>
      <c r="N9" s="775" t="s">
        <v>128</v>
      </c>
    </row>
    <row r="10" spans="1:19" ht="38.25" x14ac:dyDescent="0.2">
      <c r="A10" s="728"/>
      <c r="B10" s="728"/>
      <c r="C10" s="5" t="s">
        <v>4</v>
      </c>
      <c r="D10" s="5" t="s">
        <v>5</v>
      </c>
      <c r="E10" s="5" t="s">
        <v>350</v>
      </c>
      <c r="F10" s="7" t="s">
        <v>95</v>
      </c>
      <c r="G10" s="6" t="s">
        <v>351</v>
      </c>
      <c r="H10" s="5" t="s">
        <v>4</v>
      </c>
      <c r="I10" s="5" t="s">
        <v>5</v>
      </c>
      <c r="J10" s="5" t="s">
        <v>350</v>
      </c>
      <c r="K10" s="7" t="s">
        <v>95</v>
      </c>
      <c r="L10" s="7" t="s">
        <v>352</v>
      </c>
      <c r="M10" s="728"/>
      <c r="N10" s="775"/>
      <c r="R10" s="12"/>
      <c r="S10" s="12"/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s="14" customFormat="1" x14ac:dyDescent="0.2">
      <c r="A12" s="5">
        <v>1</v>
      </c>
      <c r="B12" s="184" t="s">
        <v>875</v>
      </c>
      <c r="C12" s="656">
        <v>1260</v>
      </c>
      <c r="D12" s="656">
        <v>44</v>
      </c>
      <c r="E12" s="656">
        <v>28</v>
      </c>
      <c r="F12" s="657">
        <v>0</v>
      </c>
      <c r="G12" s="321">
        <f>SUM(C12:F12)</f>
        <v>1332</v>
      </c>
      <c r="H12" s="320">
        <v>1260</v>
      </c>
      <c r="I12" s="320">
        <v>44</v>
      </c>
      <c r="J12" s="320">
        <v>28</v>
      </c>
      <c r="K12" s="321">
        <v>0</v>
      </c>
      <c r="L12" s="320">
        <f>SUM(H12:K12)</f>
        <v>1332</v>
      </c>
      <c r="M12" s="320">
        <f>G12-L12</f>
        <v>0</v>
      </c>
      <c r="N12" s="320"/>
      <c r="O12" s="14">
        <f>G12+'AT3B_cvrg(Insti)_UPY '!G11+'AT3C_cvrg(Insti)_UPY '!G11</f>
        <v>2177</v>
      </c>
      <c r="P12" s="31" t="s">
        <v>916</v>
      </c>
    </row>
    <row r="13" spans="1:19" s="14" customFormat="1" x14ac:dyDescent="0.2">
      <c r="A13" s="5">
        <v>2</v>
      </c>
      <c r="B13" s="184" t="s">
        <v>876</v>
      </c>
      <c r="C13" s="656">
        <v>477</v>
      </c>
      <c r="D13" s="656">
        <v>72</v>
      </c>
      <c r="E13" s="656">
        <v>0</v>
      </c>
      <c r="F13" s="657">
        <v>0</v>
      </c>
      <c r="G13" s="321">
        <f t="shared" ref="G13:G35" si="0">SUM(C13:F13)</f>
        <v>549</v>
      </c>
      <c r="H13" s="320">
        <v>477</v>
      </c>
      <c r="I13" s="320">
        <v>72</v>
      </c>
      <c r="J13" s="320">
        <v>0</v>
      </c>
      <c r="K13" s="321">
        <v>0</v>
      </c>
      <c r="L13" s="320">
        <f t="shared" ref="L13:L35" si="1">SUM(H13:K13)</f>
        <v>549</v>
      </c>
      <c r="M13" s="320">
        <f t="shared" ref="M13:M36" si="2">G13-L13</f>
        <v>0</v>
      </c>
      <c r="N13" s="320"/>
      <c r="O13" s="14">
        <f>G13+'AT3B_cvrg(Insti)_UPY '!G12+'AT3C_cvrg(Insti)_UPY '!G12</f>
        <v>868</v>
      </c>
      <c r="P13" s="31"/>
    </row>
    <row r="14" spans="1:19" s="14" customFormat="1" x14ac:dyDescent="0.2">
      <c r="A14" s="5">
        <v>3</v>
      </c>
      <c r="B14" s="184" t="s">
        <v>877</v>
      </c>
      <c r="C14" s="656">
        <v>283</v>
      </c>
      <c r="D14" s="656">
        <v>7</v>
      </c>
      <c r="E14" s="656">
        <v>0</v>
      </c>
      <c r="F14" s="657">
        <v>0</v>
      </c>
      <c r="G14" s="321">
        <f t="shared" si="0"/>
        <v>290</v>
      </c>
      <c r="H14" s="320">
        <v>283</v>
      </c>
      <c r="I14" s="320">
        <v>7</v>
      </c>
      <c r="J14" s="320">
        <v>0</v>
      </c>
      <c r="K14" s="321">
        <v>0</v>
      </c>
      <c r="L14" s="320">
        <f t="shared" si="1"/>
        <v>290</v>
      </c>
      <c r="M14" s="320">
        <f t="shared" si="2"/>
        <v>0</v>
      </c>
      <c r="N14" s="387"/>
      <c r="O14" s="14">
        <f>G14+'AT3B_cvrg(Insti)_UPY '!G13+'AT3C_cvrg(Insti)_UPY '!G13</f>
        <v>491</v>
      </c>
      <c r="P14" s="31"/>
    </row>
    <row r="15" spans="1:19" s="14" customFormat="1" x14ac:dyDescent="0.2">
      <c r="A15" s="5">
        <v>4</v>
      </c>
      <c r="B15" s="184" t="s">
        <v>878</v>
      </c>
      <c r="C15" s="656">
        <v>785</v>
      </c>
      <c r="D15" s="656">
        <v>134</v>
      </c>
      <c r="E15" s="656">
        <v>0</v>
      </c>
      <c r="F15" s="657">
        <v>0</v>
      </c>
      <c r="G15" s="321">
        <f t="shared" si="0"/>
        <v>919</v>
      </c>
      <c r="H15" s="320">
        <v>785</v>
      </c>
      <c r="I15" s="320">
        <v>134</v>
      </c>
      <c r="J15" s="320">
        <v>0</v>
      </c>
      <c r="K15" s="321">
        <v>0</v>
      </c>
      <c r="L15" s="320">
        <f t="shared" si="1"/>
        <v>919</v>
      </c>
      <c r="M15" s="320">
        <f t="shared" si="2"/>
        <v>0</v>
      </c>
      <c r="N15" s="320"/>
      <c r="O15" s="14">
        <f>G15+'AT3B_cvrg(Insti)_UPY '!G14+'AT3C_cvrg(Insti)_UPY '!G14</f>
        <v>1519</v>
      </c>
      <c r="P15" s="31"/>
    </row>
    <row r="16" spans="1:19" s="14" customFormat="1" x14ac:dyDescent="0.2">
      <c r="A16" s="5">
        <v>5</v>
      </c>
      <c r="B16" s="184" t="s">
        <v>879</v>
      </c>
      <c r="C16" s="656">
        <v>437</v>
      </c>
      <c r="D16" s="656">
        <v>149</v>
      </c>
      <c r="E16" s="656">
        <v>0</v>
      </c>
      <c r="F16" s="657">
        <v>0</v>
      </c>
      <c r="G16" s="321">
        <f t="shared" si="0"/>
        <v>586</v>
      </c>
      <c r="H16" s="320">
        <v>437</v>
      </c>
      <c r="I16" s="320">
        <v>149</v>
      </c>
      <c r="J16" s="320">
        <v>0</v>
      </c>
      <c r="K16" s="321">
        <v>0</v>
      </c>
      <c r="L16" s="320">
        <f t="shared" si="1"/>
        <v>586</v>
      </c>
      <c r="M16" s="320">
        <f t="shared" si="2"/>
        <v>0</v>
      </c>
      <c r="N16" s="320"/>
      <c r="O16" s="14">
        <f>G16+'AT3B_cvrg(Insti)_UPY '!G15+'AT3C_cvrg(Insti)_UPY '!G15</f>
        <v>968</v>
      </c>
      <c r="P16" s="31"/>
    </row>
    <row r="17" spans="1:20" s="14" customFormat="1" x14ac:dyDescent="0.2">
      <c r="A17" s="5">
        <v>6</v>
      </c>
      <c r="B17" s="184" t="s">
        <v>880</v>
      </c>
      <c r="C17" s="656">
        <v>958</v>
      </c>
      <c r="D17" s="656">
        <v>8</v>
      </c>
      <c r="E17" s="656">
        <v>0</v>
      </c>
      <c r="F17" s="657">
        <v>0</v>
      </c>
      <c r="G17" s="321">
        <f t="shared" si="0"/>
        <v>966</v>
      </c>
      <c r="H17" s="320">
        <v>958</v>
      </c>
      <c r="I17" s="320">
        <v>8</v>
      </c>
      <c r="J17" s="320">
        <v>0</v>
      </c>
      <c r="K17" s="321">
        <v>0</v>
      </c>
      <c r="L17" s="320">
        <f t="shared" si="1"/>
        <v>966</v>
      </c>
      <c r="M17" s="320">
        <f t="shared" si="2"/>
        <v>0</v>
      </c>
      <c r="N17" s="320"/>
      <c r="O17" s="14">
        <f>G17+'AT3B_cvrg(Insti)_UPY '!G16+'AT3C_cvrg(Insti)_UPY '!G16</f>
        <v>1621</v>
      </c>
      <c r="P17" s="31"/>
    </row>
    <row r="18" spans="1:20" s="14" customFormat="1" x14ac:dyDescent="0.2">
      <c r="A18" s="5">
        <v>7</v>
      </c>
      <c r="B18" s="184" t="s">
        <v>881</v>
      </c>
      <c r="C18" s="656">
        <v>821</v>
      </c>
      <c r="D18" s="656">
        <v>0</v>
      </c>
      <c r="E18" s="656">
        <v>0</v>
      </c>
      <c r="F18" s="657">
        <v>0</v>
      </c>
      <c r="G18" s="321">
        <f t="shared" si="0"/>
        <v>821</v>
      </c>
      <c r="H18" s="320">
        <v>821</v>
      </c>
      <c r="I18" s="320">
        <v>0</v>
      </c>
      <c r="J18" s="320">
        <v>0</v>
      </c>
      <c r="K18" s="321">
        <v>0</v>
      </c>
      <c r="L18" s="320">
        <f t="shared" si="1"/>
        <v>821</v>
      </c>
      <c r="M18" s="320">
        <f t="shared" si="2"/>
        <v>0</v>
      </c>
      <c r="N18" s="320"/>
      <c r="O18" s="14">
        <f>G18+'AT3B_cvrg(Insti)_UPY '!G17+'AT3C_cvrg(Insti)_UPY '!G17</f>
        <v>1381</v>
      </c>
      <c r="P18" s="31" t="s">
        <v>917</v>
      </c>
    </row>
    <row r="19" spans="1:20" s="14" customFormat="1" x14ac:dyDescent="0.2">
      <c r="A19" s="5">
        <v>8</v>
      </c>
      <c r="B19" s="184" t="s">
        <v>882</v>
      </c>
      <c r="C19" s="656">
        <v>1347</v>
      </c>
      <c r="D19" s="656">
        <v>6</v>
      </c>
      <c r="E19" s="656">
        <v>26</v>
      </c>
      <c r="F19" s="657">
        <v>0</v>
      </c>
      <c r="G19" s="321">
        <f t="shared" si="0"/>
        <v>1379</v>
      </c>
      <c r="H19" s="320">
        <v>1347</v>
      </c>
      <c r="I19" s="320">
        <v>6</v>
      </c>
      <c r="J19" s="320">
        <v>26</v>
      </c>
      <c r="K19" s="321">
        <v>0</v>
      </c>
      <c r="L19" s="320">
        <f t="shared" si="1"/>
        <v>1379</v>
      </c>
      <c r="M19" s="320">
        <f t="shared" si="2"/>
        <v>0</v>
      </c>
      <c r="N19" s="320"/>
      <c r="O19" s="14">
        <f>G19+'AT3B_cvrg(Insti)_UPY '!G18+'AT3C_cvrg(Insti)_UPY '!G18</f>
        <v>2066</v>
      </c>
      <c r="P19" s="31"/>
    </row>
    <row r="20" spans="1:20" s="14" customFormat="1" x14ac:dyDescent="0.2">
      <c r="A20" s="5">
        <v>9</v>
      </c>
      <c r="B20" s="184" t="s">
        <v>883</v>
      </c>
      <c r="C20" s="656">
        <v>1202</v>
      </c>
      <c r="D20" s="656">
        <v>1</v>
      </c>
      <c r="E20" s="656">
        <v>0</v>
      </c>
      <c r="F20" s="657">
        <v>0</v>
      </c>
      <c r="G20" s="321">
        <f t="shared" si="0"/>
        <v>1203</v>
      </c>
      <c r="H20" s="320">
        <v>1202</v>
      </c>
      <c r="I20" s="320">
        <v>1</v>
      </c>
      <c r="J20" s="320">
        <v>0</v>
      </c>
      <c r="K20" s="321">
        <v>0</v>
      </c>
      <c r="L20" s="320">
        <f t="shared" si="1"/>
        <v>1203</v>
      </c>
      <c r="M20" s="320">
        <f t="shared" si="2"/>
        <v>0</v>
      </c>
      <c r="N20" s="320"/>
      <c r="O20" s="14">
        <f>G20+'AT3B_cvrg(Insti)_UPY '!G19+'AT3C_cvrg(Insti)_UPY '!G19</f>
        <v>2499</v>
      </c>
      <c r="P20" s="31"/>
    </row>
    <row r="21" spans="1:20" s="14" customFormat="1" x14ac:dyDescent="0.2">
      <c r="A21" s="5">
        <v>10</v>
      </c>
      <c r="B21" s="184" t="s">
        <v>884</v>
      </c>
      <c r="C21" s="656">
        <v>632</v>
      </c>
      <c r="D21" s="656">
        <v>0</v>
      </c>
      <c r="E21" s="656">
        <v>0</v>
      </c>
      <c r="F21" s="657">
        <v>0</v>
      </c>
      <c r="G21" s="321">
        <f t="shared" si="0"/>
        <v>632</v>
      </c>
      <c r="H21" s="320">
        <v>632</v>
      </c>
      <c r="I21" s="320">
        <v>0</v>
      </c>
      <c r="J21" s="320">
        <v>0</v>
      </c>
      <c r="K21" s="321">
        <v>0</v>
      </c>
      <c r="L21" s="320">
        <f t="shared" si="1"/>
        <v>632</v>
      </c>
      <c r="M21" s="320">
        <f t="shared" si="2"/>
        <v>0</v>
      </c>
      <c r="N21" s="320"/>
      <c r="O21" s="14">
        <f>G21+'AT3B_cvrg(Insti)_UPY '!G20+'AT3C_cvrg(Insti)_UPY '!G20</f>
        <v>1037</v>
      </c>
      <c r="P21" s="31"/>
    </row>
    <row r="22" spans="1:20" s="14" customFormat="1" x14ac:dyDescent="0.2">
      <c r="A22" s="5">
        <v>11</v>
      </c>
      <c r="B22" s="184" t="s">
        <v>885</v>
      </c>
      <c r="C22" s="320">
        <v>955</v>
      </c>
      <c r="D22" s="320">
        <v>0</v>
      </c>
      <c r="E22" s="320">
        <v>25</v>
      </c>
      <c r="F22" s="321">
        <v>0</v>
      </c>
      <c r="G22" s="321">
        <f t="shared" si="0"/>
        <v>980</v>
      </c>
      <c r="H22" s="320">
        <v>955</v>
      </c>
      <c r="I22" s="320">
        <v>0</v>
      </c>
      <c r="J22" s="320">
        <v>25</v>
      </c>
      <c r="K22" s="321">
        <v>0</v>
      </c>
      <c r="L22" s="320">
        <f t="shared" si="1"/>
        <v>980</v>
      </c>
      <c r="M22" s="320">
        <f t="shared" si="2"/>
        <v>0</v>
      </c>
      <c r="N22" s="320"/>
      <c r="O22" s="14">
        <f>G22+'AT3B_cvrg(Insti)_UPY '!G21+'AT3C_cvrg(Insti)_UPY '!G21</f>
        <v>1420</v>
      </c>
      <c r="P22" s="31"/>
    </row>
    <row r="23" spans="1:20" s="14" customFormat="1" x14ac:dyDescent="0.2">
      <c r="A23" s="5">
        <v>12</v>
      </c>
      <c r="B23" s="241" t="s">
        <v>886</v>
      </c>
      <c r="C23" s="320">
        <v>875</v>
      </c>
      <c r="D23" s="320">
        <v>8</v>
      </c>
      <c r="E23" s="320">
        <v>12</v>
      </c>
      <c r="F23" s="321">
        <v>4</v>
      </c>
      <c r="G23" s="321">
        <f t="shared" si="0"/>
        <v>899</v>
      </c>
      <c r="H23" s="320">
        <v>875</v>
      </c>
      <c r="I23" s="320">
        <v>8</v>
      </c>
      <c r="J23" s="320">
        <v>12</v>
      </c>
      <c r="K23" s="321">
        <v>4</v>
      </c>
      <c r="L23" s="320">
        <f t="shared" si="1"/>
        <v>899</v>
      </c>
      <c r="M23" s="320">
        <f t="shared" si="2"/>
        <v>0</v>
      </c>
      <c r="N23" s="320"/>
      <c r="O23" s="14">
        <f>G23+'AT3B_cvrg(Insti)_UPY '!G22+'AT3C_cvrg(Insti)_UPY '!G22</f>
        <v>1479</v>
      </c>
      <c r="P23" s="31"/>
    </row>
    <row r="24" spans="1:20" s="14" customFormat="1" x14ac:dyDescent="0.2">
      <c r="A24" s="5">
        <v>13</v>
      </c>
      <c r="B24" s="184" t="s">
        <v>887</v>
      </c>
      <c r="C24" s="320">
        <v>345</v>
      </c>
      <c r="D24" s="320">
        <v>2</v>
      </c>
      <c r="E24" s="320">
        <v>0</v>
      </c>
      <c r="F24" s="321">
        <v>0</v>
      </c>
      <c r="G24" s="321">
        <f t="shared" si="0"/>
        <v>347</v>
      </c>
      <c r="H24" s="320">
        <v>345</v>
      </c>
      <c r="I24" s="320">
        <v>2</v>
      </c>
      <c r="J24" s="320">
        <v>0</v>
      </c>
      <c r="K24" s="321">
        <v>0</v>
      </c>
      <c r="L24" s="320">
        <f t="shared" si="1"/>
        <v>347</v>
      </c>
      <c r="M24" s="320">
        <f t="shared" si="2"/>
        <v>0</v>
      </c>
      <c r="N24" s="320"/>
      <c r="O24" s="14">
        <f>G24+'AT3B_cvrg(Insti)_UPY '!G23+'AT3C_cvrg(Insti)_UPY '!G23</f>
        <v>587</v>
      </c>
      <c r="P24" s="31"/>
    </row>
    <row r="25" spans="1:20" s="14" customFormat="1" x14ac:dyDescent="0.2">
      <c r="A25" s="5">
        <v>14</v>
      </c>
      <c r="B25" s="184" t="s">
        <v>888</v>
      </c>
      <c r="C25" s="320">
        <v>363</v>
      </c>
      <c r="D25" s="320">
        <v>0</v>
      </c>
      <c r="E25" s="320">
        <v>0</v>
      </c>
      <c r="F25" s="321">
        <v>0</v>
      </c>
      <c r="G25" s="321">
        <f t="shared" si="0"/>
        <v>363</v>
      </c>
      <c r="H25" s="320">
        <v>363</v>
      </c>
      <c r="I25" s="320">
        <v>0</v>
      </c>
      <c r="J25" s="320">
        <v>0</v>
      </c>
      <c r="K25" s="321">
        <v>0</v>
      </c>
      <c r="L25" s="320">
        <f t="shared" si="1"/>
        <v>363</v>
      </c>
      <c r="M25" s="320">
        <f t="shared" si="2"/>
        <v>0</v>
      </c>
      <c r="N25" s="320"/>
      <c r="O25" s="14">
        <f>G25+'AT3B_cvrg(Insti)_UPY '!G24+'AT3C_cvrg(Insti)_UPY '!G24</f>
        <v>659</v>
      </c>
      <c r="P25" s="31"/>
    </row>
    <row r="26" spans="1:20" s="14" customFormat="1" x14ac:dyDescent="0.2">
      <c r="A26" s="5">
        <v>15</v>
      </c>
      <c r="B26" s="184" t="s">
        <v>889</v>
      </c>
      <c r="C26" s="320">
        <v>895</v>
      </c>
      <c r="D26" s="320">
        <v>0</v>
      </c>
      <c r="E26" s="320">
        <v>0</v>
      </c>
      <c r="F26" s="321">
        <v>0</v>
      </c>
      <c r="G26" s="321">
        <f t="shared" si="0"/>
        <v>895</v>
      </c>
      <c r="H26" s="320">
        <v>895</v>
      </c>
      <c r="I26" s="320">
        <v>0</v>
      </c>
      <c r="J26" s="320">
        <v>0</v>
      </c>
      <c r="K26" s="321">
        <v>0</v>
      </c>
      <c r="L26" s="320">
        <f t="shared" si="1"/>
        <v>895</v>
      </c>
      <c r="M26" s="320">
        <f t="shared" si="2"/>
        <v>0</v>
      </c>
      <c r="N26" s="320"/>
      <c r="O26" s="14">
        <f>G26+'AT3B_cvrg(Insti)_UPY '!G25+'AT3C_cvrg(Insti)_UPY '!G25</f>
        <v>1539</v>
      </c>
      <c r="P26" s="31"/>
    </row>
    <row r="27" spans="1:20" s="14" customFormat="1" x14ac:dyDescent="0.2">
      <c r="A27" s="5">
        <v>16</v>
      </c>
      <c r="B27" s="184" t="s">
        <v>890</v>
      </c>
      <c r="C27" s="320">
        <v>1883</v>
      </c>
      <c r="D27" s="320">
        <v>5</v>
      </c>
      <c r="E27" s="320">
        <v>0</v>
      </c>
      <c r="F27" s="321">
        <v>0</v>
      </c>
      <c r="G27" s="321">
        <f t="shared" si="0"/>
        <v>1888</v>
      </c>
      <c r="H27" s="320">
        <v>1883</v>
      </c>
      <c r="I27" s="320">
        <v>5</v>
      </c>
      <c r="J27" s="320">
        <v>0</v>
      </c>
      <c r="K27" s="321">
        <v>0</v>
      </c>
      <c r="L27" s="320">
        <f t="shared" si="1"/>
        <v>1888</v>
      </c>
      <c r="M27" s="320">
        <f t="shared" si="2"/>
        <v>0</v>
      </c>
      <c r="N27" s="320"/>
      <c r="O27" s="14">
        <f>G27+'AT3B_cvrg(Insti)_UPY '!G26+'AT3C_cvrg(Insti)_UPY '!G26</f>
        <v>3136</v>
      </c>
      <c r="P27" s="31"/>
    </row>
    <row r="28" spans="1:20" x14ac:dyDescent="0.2">
      <c r="A28" s="5">
        <v>17</v>
      </c>
      <c r="B28" s="184" t="s">
        <v>891</v>
      </c>
      <c r="C28" s="322">
        <v>1091</v>
      </c>
      <c r="D28" s="322">
        <v>0</v>
      </c>
      <c r="E28" s="322">
        <v>0</v>
      </c>
      <c r="F28" s="323">
        <v>0</v>
      </c>
      <c r="G28" s="321">
        <f t="shared" si="0"/>
        <v>1091</v>
      </c>
      <c r="H28" s="322">
        <v>1091</v>
      </c>
      <c r="I28" s="322">
        <v>0</v>
      </c>
      <c r="J28" s="322">
        <v>0</v>
      </c>
      <c r="K28" s="323">
        <v>0</v>
      </c>
      <c r="L28" s="320">
        <f t="shared" si="1"/>
        <v>1091</v>
      </c>
      <c r="M28" s="320">
        <f t="shared" si="2"/>
        <v>0</v>
      </c>
      <c r="N28" s="322"/>
      <c r="O28" s="14">
        <f>G28+'AT3B_cvrg(Insti)_UPY '!G27+'AT3C_cvrg(Insti)_UPY '!G27</f>
        <v>1694</v>
      </c>
      <c r="P28" s="625"/>
      <c r="Q28" s="14"/>
      <c r="R28" s="14"/>
      <c r="S28" s="14"/>
      <c r="T28" s="14"/>
    </row>
    <row r="29" spans="1:20" x14ac:dyDescent="0.2">
      <c r="A29" s="5">
        <v>18</v>
      </c>
      <c r="B29" s="184" t="s">
        <v>892</v>
      </c>
      <c r="C29" s="322">
        <v>990</v>
      </c>
      <c r="D29" s="322">
        <v>0</v>
      </c>
      <c r="E29" s="322">
        <v>0</v>
      </c>
      <c r="F29" s="323">
        <v>0</v>
      </c>
      <c r="G29" s="321">
        <f t="shared" si="0"/>
        <v>990</v>
      </c>
      <c r="H29" s="322">
        <v>990</v>
      </c>
      <c r="I29" s="322">
        <v>0</v>
      </c>
      <c r="J29" s="322">
        <v>0</v>
      </c>
      <c r="K29" s="323">
        <v>0</v>
      </c>
      <c r="L29" s="320">
        <f t="shared" si="1"/>
        <v>990</v>
      </c>
      <c r="M29" s="320">
        <f t="shared" si="2"/>
        <v>0</v>
      </c>
      <c r="N29" s="322"/>
      <c r="O29" s="14">
        <f>G29+'AT3B_cvrg(Insti)_UPY '!G28+'AT3C_cvrg(Insti)_UPY '!G28</f>
        <v>1522</v>
      </c>
      <c r="P29" s="339" t="s">
        <v>916</v>
      </c>
      <c r="Q29" s="14"/>
      <c r="R29" s="14"/>
      <c r="S29" s="14"/>
      <c r="T29" s="14"/>
    </row>
    <row r="30" spans="1:20" x14ac:dyDescent="0.2">
      <c r="A30" s="5">
        <v>19</v>
      </c>
      <c r="B30" s="184" t="s">
        <v>893</v>
      </c>
      <c r="C30" s="322">
        <v>1465</v>
      </c>
      <c r="D30" s="322">
        <v>13</v>
      </c>
      <c r="E30" s="322">
        <v>26</v>
      </c>
      <c r="F30" s="323">
        <v>0</v>
      </c>
      <c r="G30" s="321">
        <f t="shared" si="0"/>
        <v>1504</v>
      </c>
      <c r="H30" s="322">
        <v>1465</v>
      </c>
      <c r="I30" s="322">
        <v>13</v>
      </c>
      <c r="J30" s="322">
        <v>26</v>
      </c>
      <c r="K30" s="323">
        <v>0</v>
      </c>
      <c r="L30" s="320">
        <f t="shared" si="1"/>
        <v>1504</v>
      </c>
      <c r="M30" s="320">
        <f t="shared" si="2"/>
        <v>0</v>
      </c>
      <c r="N30" s="322"/>
      <c r="O30" s="14">
        <f>G30+'AT3B_cvrg(Insti)_UPY '!G29+'AT3C_cvrg(Insti)_UPY '!G29</f>
        <v>2314</v>
      </c>
      <c r="P30" s="625"/>
      <c r="Q30" s="14"/>
      <c r="R30" s="14"/>
      <c r="S30" s="14"/>
      <c r="T30" s="14"/>
    </row>
    <row r="31" spans="1:20" x14ac:dyDescent="0.2">
      <c r="A31" s="5">
        <v>20</v>
      </c>
      <c r="B31" s="184" t="s">
        <v>894</v>
      </c>
      <c r="C31" s="322">
        <v>599</v>
      </c>
      <c r="D31" s="322">
        <v>1</v>
      </c>
      <c r="E31" s="322">
        <v>0</v>
      </c>
      <c r="F31" s="323">
        <v>0</v>
      </c>
      <c r="G31" s="321">
        <f t="shared" si="0"/>
        <v>600</v>
      </c>
      <c r="H31" s="322">
        <v>599</v>
      </c>
      <c r="I31" s="322">
        <v>1</v>
      </c>
      <c r="J31" s="322">
        <v>0</v>
      </c>
      <c r="K31" s="323">
        <v>0</v>
      </c>
      <c r="L31" s="320">
        <f t="shared" si="1"/>
        <v>600</v>
      </c>
      <c r="M31" s="320">
        <f t="shared" si="2"/>
        <v>0</v>
      </c>
      <c r="N31" s="322"/>
      <c r="O31" s="14">
        <f>G31+'AT3B_cvrg(Insti)_UPY '!G30+'AT3C_cvrg(Insti)_UPY '!G30</f>
        <v>1015</v>
      </c>
      <c r="P31" s="625"/>
      <c r="Q31" s="14"/>
      <c r="R31" s="14"/>
      <c r="S31" s="14"/>
      <c r="T31" s="14"/>
    </row>
    <row r="32" spans="1:20" x14ac:dyDescent="0.2">
      <c r="A32" s="5">
        <v>21</v>
      </c>
      <c r="B32" s="184" t="s">
        <v>895</v>
      </c>
      <c r="C32" s="322">
        <v>758</v>
      </c>
      <c r="D32" s="322">
        <v>0</v>
      </c>
      <c r="E32" s="322">
        <v>0</v>
      </c>
      <c r="F32" s="323">
        <v>0</v>
      </c>
      <c r="G32" s="321">
        <f t="shared" si="0"/>
        <v>758</v>
      </c>
      <c r="H32" s="322">
        <v>758</v>
      </c>
      <c r="I32" s="322">
        <v>0</v>
      </c>
      <c r="J32" s="322">
        <v>0</v>
      </c>
      <c r="K32" s="323">
        <v>0</v>
      </c>
      <c r="L32" s="320">
        <f t="shared" si="1"/>
        <v>758</v>
      </c>
      <c r="M32" s="320">
        <f t="shared" si="2"/>
        <v>0</v>
      </c>
      <c r="N32" s="322"/>
      <c r="O32" s="14">
        <f>G32+'AT3B_cvrg(Insti)_UPY '!G31+'AT3C_cvrg(Insti)_UPY '!G31</f>
        <v>1286</v>
      </c>
      <c r="P32" s="625"/>
      <c r="Q32" s="14"/>
      <c r="R32" s="14"/>
      <c r="S32" s="14"/>
      <c r="T32" s="14"/>
    </row>
    <row r="33" spans="1:20" x14ac:dyDescent="0.2">
      <c r="A33" s="5">
        <v>22</v>
      </c>
      <c r="B33" s="184" t="s">
        <v>896</v>
      </c>
      <c r="C33" s="18">
        <v>604</v>
      </c>
      <c r="D33" s="18">
        <v>5</v>
      </c>
      <c r="E33" s="18">
        <v>19</v>
      </c>
      <c r="F33" s="26">
        <v>0</v>
      </c>
      <c r="G33" s="321">
        <f t="shared" si="0"/>
        <v>628</v>
      </c>
      <c r="H33" s="18">
        <v>604</v>
      </c>
      <c r="I33" s="18">
        <v>5</v>
      </c>
      <c r="J33" s="18">
        <v>19</v>
      </c>
      <c r="K33" s="26">
        <v>0</v>
      </c>
      <c r="L33" s="320">
        <f t="shared" si="1"/>
        <v>628</v>
      </c>
      <c r="M33" s="320">
        <f t="shared" si="2"/>
        <v>0</v>
      </c>
      <c r="N33" s="322"/>
      <c r="O33" s="14">
        <f>G33+'AT3B_cvrg(Insti)_UPY '!G32+'AT3C_cvrg(Insti)_UPY '!G32</f>
        <v>1011</v>
      </c>
      <c r="P33" s="625"/>
      <c r="Q33" s="14"/>
      <c r="R33" s="14"/>
      <c r="S33" s="14"/>
      <c r="T33" s="14"/>
    </row>
    <row r="34" spans="1:20" x14ac:dyDescent="0.2">
      <c r="A34" s="5">
        <v>23</v>
      </c>
      <c r="B34" s="184" t="s">
        <v>897</v>
      </c>
      <c r="C34" s="322">
        <v>922</v>
      </c>
      <c r="D34" s="322">
        <v>0</v>
      </c>
      <c r="E34" s="322">
        <v>0</v>
      </c>
      <c r="F34" s="323">
        <v>0</v>
      </c>
      <c r="G34" s="321">
        <f t="shared" si="0"/>
        <v>922</v>
      </c>
      <c r="H34" s="322">
        <v>922</v>
      </c>
      <c r="I34" s="322">
        <v>0</v>
      </c>
      <c r="J34" s="322">
        <v>0</v>
      </c>
      <c r="K34" s="323">
        <v>0</v>
      </c>
      <c r="L34" s="320">
        <f t="shared" si="1"/>
        <v>922</v>
      </c>
      <c r="M34" s="320">
        <f t="shared" si="2"/>
        <v>0</v>
      </c>
      <c r="N34" s="322"/>
      <c r="O34" s="14">
        <f>G34+'AT3B_cvrg(Insti)_UPY '!G33+'AT3C_cvrg(Insti)_UPY '!G33</f>
        <v>1540</v>
      </c>
      <c r="P34" s="625"/>
      <c r="Q34" s="14"/>
      <c r="R34" s="14"/>
      <c r="S34" s="14"/>
      <c r="T34" s="14"/>
    </row>
    <row r="35" spans="1:20" x14ac:dyDescent="0.2">
      <c r="A35" s="5">
        <v>24</v>
      </c>
      <c r="B35" s="184" t="s">
        <v>898</v>
      </c>
      <c r="C35" s="322">
        <v>1296</v>
      </c>
      <c r="D35" s="322">
        <v>0</v>
      </c>
      <c r="E35" s="322">
        <v>0</v>
      </c>
      <c r="F35" s="323">
        <v>0</v>
      </c>
      <c r="G35" s="321">
        <f t="shared" si="0"/>
        <v>1296</v>
      </c>
      <c r="H35" s="322">
        <v>1296</v>
      </c>
      <c r="I35" s="322">
        <v>0</v>
      </c>
      <c r="J35" s="322">
        <v>0</v>
      </c>
      <c r="K35" s="323">
        <v>0</v>
      </c>
      <c r="L35" s="320">
        <f t="shared" si="1"/>
        <v>1296</v>
      </c>
      <c r="M35" s="320">
        <f t="shared" si="2"/>
        <v>0</v>
      </c>
      <c r="N35" s="322"/>
      <c r="O35" s="14">
        <f>G35+'AT3B_cvrg(Insti)_UPY '!G34+'AT3C_cvrg(Insti)_UPY '!G34</f>
        <v>1945</v>
      </c>
      <c r="P35" s="625"/>
      <c r="Q35" s="14"/>
      <c r="R35" s="14"/>
      <c r="S35" s="14"/>
      <c r="T35" s="14"/>
    </row>
    <row r="36" spans="1:20" s="14" customFormat="1" x14ac:dyDescent="0.2">
      <c r="A36" s="733" t="s">
        <v>15</v>
      </c>
      <c r="B36" s="735"/>
      <c r="C36" s="324">
        <f>SUM(C12:C35)</f>
        <v>21243</v>
      </c>
      <c r="D36" s="324">
        <f>SUM(D12:D35)</f>
        <v>455</v>
      </c>
      <c r="E36" s="324">
        <f>SUM(E12:E35)</f>
        <v>136</v>
      </c>
      <c r="F36" s="325">
        <f>SUM(F12:F35)</f>
        <v>4</v>
      </c>
      <c r="G36" s="326">
        <f>SUM(C36:F36)</f>
        <v>21838</v>
      </c>
      <c r="H36" s="324">
        <f>SUM(H12:H35)</f>
        <v>21243</v>
      </c>
      <c r="I36" s="324">
        <f>SUM(I12:I35)</f>
        <v>455</v>
      </c>
      <c r="J36" s="324">
        <f>SUM(J12:J35)</f>
        <v>136</v>
      </c>
      <c r="K36" s="324">
        <f>SUM(K12:K35)</f>
        <v>4</v>
      </c>
      <c r="L36" s="324">
        <f>SUM(H36:K36)</f>
        <v>21838</v>
      </c>
      <c r="M36" s="319">
        <f t="shared" si="2"/>
        <v>0</v>
      </c>
      <c r="N36" s="324"/>
      <c r="O36" s="14">
        <f>SUM(O12:O35)</f>
        <v>35774</v>
      </c>
      <c r="P36" s="31">
        <f>L36-J36</f>
        <v>21702</v>
      </c>
    </row>
    <row r="37" spans="1:20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20" x14ac:dyDescent="0.2">
      <c r="A38" s="10" t="s">
        <v>7</v>
      </c>
    </row>
    <row r="39" spans="1:20" x14ac:dyDescent="0.2">
      <c r="A39" t="s">
        <v>8</v>
      </c>
    </row>
    <row r="40" spans="1:20" x14ac:dyDescent="0.2">
      <c r="A40" t="s">
        <v>9</v>
      </c>
      <c r="J40" s="11" t="s">
        <v>10</v>
      </c>
      <c r="K40" s="11"/>
      <c r="L40" s="11" t="s">
        <v>10</v>
      </c>
    </row>
    <row r="41" spans="1:20" x14ac:dyDescent="0.2">
      <c r="A41" s="15" t="s">
        <v>422</v>
      </c>
      <c r="J41" s="11"/>
      <c r="K41" s="11"/>
      <c r="L41" s="11"/>
    </row>
    <row r="42" spans="1:20" x14ac:dyDescent="0.2">
      <c r="C42" s="15" t="s">
        <v>423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20" x14ac:dyDescent="0.2">
      <c r="C43" s="15"/>
      <c r="E43" s="12"/>
      <c r="F43" s="12"/>
      <c r="G43" s="12"/>
      <c r="H43" s="12"/>
      <c r="I43" s="12"/>
      <c r="J43" s="12"/>
      <c r="K43" s="12"/>
      <c r="L43" s="12"/>
      <c r="M43" s="12"/>
    </row>
    <row r="44" spans="1:20" ht="15.6" customHeight="1" x14ac:dyDescent="0.25">
      <c r="A44" s="674" t="s">
        <v>11</v>
      </c>
      <c r="B44" s="674"/>
      <c r="C44" s="674"/>
      <c r="D44" s="674"/>
      <c r="E44" s="674"/>
      <c r="F44" s="674"/>
      <c r="G44" s="674"/>
      <c r="H44" s="669"/>
      <c r="I44" s="669"/>
      <c r="J44" s="670"/>
      <c r="K44" s="873"/>
      <c r="L44" s="874"/>
      <c r="M44" s="875" t="s">
        <v>1107</v>
      </c>
      <c r="N44" s="875"/>
      <c r="O44" s="875"/>
    </row>
    <row r="45" spans="1:20" ht="15.75" x14ac:dyDescent="0.2">
      <c r="A45" s="873" t="s">
        <v>1108</v>
      </c>
      <c r="B45" s="873"/>
      <c r="C45" s="873"/>
      <c r="D45" s="873"/>
      <c r="E45" s="873"/>
      <c r="F45" s="873"/>
      <c r="G45" s="873"/>
      <c r="H45" s="873"/>
      <c r="I45" s="873"/>
      <c r="J45" s="873"/>
      <c r="K45" s="873"/>
      <c r="L45" s="873"/>
      <c r="M45" s="873"/>
      <c r="N45" s="873"/>
      <c r="O45" s="669"/>
    </row>
    <row r="46" spans="1:20" ht="15.75" x14ac:dyDescent="0.2">
      <c r="A46" s="873" t="s">
        <v>1112</v>
      </c>
      <c r="B46" s="873"/>
      <c r="C46" s="873"/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669"/>
    </row>
    <row r="47" spans="1:20" x14ac:dyDescent="0.2">
      <c r="A47" s="669"/>
      <c r="B47" s="669"/>
      <c r="C47" s="669"/>
      <c r="D47" s="669"/>
      <c r="E47" s="669"/>
      <c r="F47" s="669"/>
      <c r="G47" s="669"/>
      <c r="H47" s="669"/>
      <c r="I47" s="669"/>
      <c r="J47" s="669"/>
      <c r="K47" s="756" t="s">
        <v>1110</v>
      </c>
      <c r="L47" s="756"/>
      <c r="M47" s="756"/>
      <c r="N47" s="756"/>
      <c r="O47" s="669"/>
    </row>
    <row r="48" spans="1:20" x14ac:dyDescent="0.2">
      <c r="A48" s="876"/>
      <c r="B48" s="876"/>
      <c r="C48" s="876"/>
      <c r="D48" s="876"/>
      <c r="E48" s="876"/>
      <c r="F48" s="876"/>
      <c r="G48" s="876"/>
      <c r="H48" s="876"/>
      <c r="I48" s="876"/>
      <c r="J48" s="876"/>
      <c r="K48" s="876"/>
      <c r="L48" s="876"/>
      <c r="M48" s="876"/>
    </row>
  </sheetData>
  <mergeCells count="19">
    <mergeCell ref="A48:M48"/>
    <mergeCell ref="H9:L9"/>
    <mergeCell ref="C9:G9"/>
    <mergeCell ref="A36:B36"/>
    <mergeCell ref="B9:B10"/>
    <mergeCell ref="A9:A10"/>
    <mergeCell ref="M9:M10"/>
    <mergeCell ref="N9:N10"/>
    <mergeCell ref="K44:L44"/>
    <mergeCell ref="A46:N46"/>
    <mergeCell ref="A45:N45"/>
    <mergeCell ref="M44:O44"/>
    <mergeCell ref="K47:N47"/>
    <mergeCell ref="D1:I1"/>
    <mergeCell ref="A5:M5"/>
    <mergeCell ref="A3:M3"/>
    <mergeCell ref="A2:M2"/>
    <mergeCell ref="L1:M1"/>
    <mergeCell ref="L8:N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topLeftCell="A16" zoomScale="90" zoomScaleNormal="100" zoomScaleSheetLayoutView="90" workbookViewId="0">
      <selection activeCell="Q46" sqref="Q46"/>
    </sheetView>
  </sheetViews>
  <sheetFormatPr defaultRowHeight="12.75" x14ac:dyDescent="0.2"/>
  <cols>
    <col min="1" max="1" width="7.5703125" customWidth="1"/>
    <col min="2" max="2" width="15.85546875" bestFit="1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10" customWidth="1"/>
    <col min="13" max="13" width="12.28515625" customWidth="1"/>
    <col min="14" max="14" width="19" customWidth="1"/>
  </cols>
  <sheetData>
    <row r="1" spans="1:19" ht="12.75" customHeight="1" x14ac:dyDescent="0.2">
      <c r="D1" s="792"/>
      <c r="E1" s="792"/>
      <c r="F1" s="792"/>
      <c r="G1" s="792"/>
      <c r="H1" s="792"/>
      <c r="I1" s="792"/>
      <c r="J1" s="792"/>
      <c r="K1" s="1"/>
      <c r="M1" s="96" t="s">
        <v>84</v>
      </c>
    </row>
    <row r="2" spans="1:19" ht="15" x14ac:dyDescent="0.2">
      <c r="A2" s="878" t="s">
        <v>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</row>
    <row r="3" spans="1:19" ht="20.25" x14ac:dyDescent="0.3">
      <c r="A3" s="789" t="s">
        <v>694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</row>
    <row r="4" spans="1:19" ht="11.25" customHeight="1" x14ac:dyDescent="0.2"/>
    <row r="5" spans="1:19" ht="15.75" x14ac:dyDescent="0.25">
      <c r="A5" s="790" t="s">
        <v>736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</row>
    <row r="7" spans="1:19" x14ac:dyDescent="0.2">
      <c r="A7" s="791" t="s">
        <v>1098</v>
      </c>
      <c r="B7" s="791"/>
      <c r="L7" s="872" t="s">
        <v>772</v>
      </c>
      <c r="M7" s="872"/>
      <c r="N7" s="872"/>
    </row>
    <row r="8" spans="1:19" ht="15.75" customHeight="1" x14ac:dyDescent="0.2">
      <c r="A8" s="727" t="s">
        <v>1</v>
      </c>
      <c r="B8" s="727" t="s">
        <v>2</v>
      </c>
      <c r="C8" s="725" t="s">
        <v>3</v>
      </c>
      <c r="D8" s="725"/>
      <c r="E8" s="725"/>
      <c r="F8" s="725"/>
      <c r="G8" s="725"/>
      <c r="H8" s="725" t="s">
        <v>97</v>
      </c>
      <c r="I8" s="725"/>
      <c r="J8" s="725"/>
      <c r="K8" s="725"/>
      <c r="L8" s="725"/>
      <c r="M8" s="727" t="s">
        <v>127</v>
      </c>
      <c r="N8" s="775" t="s">
        <v>128</v>
      </c>
    </row>
    <row r="9" spans="1:19" ht="51" x14ac:dyDescent="0.2">
      <c r="A9" s="728"/>
      <c r="B9" s="728"/>
      <c r="C9" s="5" t="s">
        <v>4</v>
      </c>
      <c r="D9" s="5" t="s">
        <v>5</v>
      </c>
      <c r="E9" s="5" t="s">
        <v>350</v>
      </c>
      <c r="F9" s="5" t="s">
        <v>95</v>
      </c>
      <c r="G9" s="5" t="s">
        <v>198</v>
      </c>
      <c r="H9" s="5" t="s">
        <v>4</v>
      </c>
      <c r="I9" s="5" t="s">
        <v>5</v>
      </c>
      <c r="J9" s="5" t="s">
        <v>350</v>
      </c>
      <c r="K9" s="5" t="s">
        <v>95</v>
      </c>
      <c r="L9" s="5" t="s">
        <v>197</v>
      </c>
      <c r="M9" s="728"/>
      <c r="N9" s="775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s="14" customFormat="1" x14ac:dyDescent="0.2">
      <c r="A11" s="8">
        <v>1</v>
      </c>
      <c r="B11" s="184" t="s">
        <v>875</v>
      </c>
      <c r="C11" s="328">
        <v>739</v>
      </c>
      <c r="D11" s="329">
        <v>54</v>
      </c>
      <c r="E11" s="329">
        <v>0</v>
      </c>
      <c r="F11" s="330">
        <v>2</v>
      </c>
      <c r="G11" s="328">
        <f>SUM(C11:F11)</f>
        <v>795</v>
      </c>
      <c r="H11" s="328">
        <v>739</v>
      </c>
      <c r="I11" s="329">
        <v>54</v>
      </c>
      <c r="J11" s="329">
        <v>0</v>
      </c>
      <c r="K11" s="330">
        <v>2</v>
      </c>
      <c r="L11" s="328">
        <f>SUM(H11:K11)</f>
        <v>795</v>
      </c>
      <c r="M11" s="328">
        <f>G11-L11</f>
        <v>0</v>
      </c>
      <c r="N11" s="328"/>
    </row>
    <row r="12" spans="1:19" s="14" customFormat="1" x14ac:dyDescent="0.2">
      <c r="A12" s="8">
        <v>2</v>
      </c>
      <c r="B12" s="184" t="s">
        <v>876</v>
      </c>
      <c r="C12" s="328">
        <v>268</v>
      </c>
      <c r="D12" s="329">
        <v>32</v>
      </c>
      <c r="E12" s="329">
        <v>0</v>
      </c>
      <c r="F12" s="330">
        <v>0</v>
      </c>
      <c r="G12" s="328">
        <f t="shared" ref="G12:G34" si="0">SUM(C12:F12)</f>
        <v>300</v>
      </c>
      <c r="H12" s="328">
        <v>268</v>
      </c>
      <c r="I12" s="329">
        <v>32</v>
      </c>
      <c r="J12" s="329">
        <v>0</v>
      </c>
      <c r="K12" s="330">
        <v>0</v>
      </c>
      <c r="L12" s="328">
        <f t="shared" ref="L12:L34" si="1">SUM(H12:K12)</f>
        <v>300</v>
      </c>
      <c r="M12" s="328">
        <f t="shared" ref="M12:M35" si="2">G12-L12</f>
        <v>0</v>
      </c>
      <c r="N12" s="328"/>
    </row>
    <row r="13" spans="1:19" s="14" customFormat="1" x14ac:dyDescent="0.2">
      <c r="A13" s="8">
        <v>3</v>
      </c>
      <c r="B13" s="184" t="s">
        <v>877</v>
      </c>
      <c r="C13" s="328">
        <v>191</v>
      </c>
      <c r="D13" s="329">
        <v>4</v>
      </c>
      <c r="E13" s="329">
        <v>0</v>
      </c>
      <c r="F13" s="330">
        <v>0</v>
      </c>
      <c r="G13" s="328">
        <f t="shared" si="0"/>
        <v>195</v>
      </c>
      <c r="H13" s="328">
        <v>191</v>
      </c>
      <c r="I13" s="329">
        <v>4</v>
      </c>
      <c r="J13" s="329">
        <v>0</v>
      </c>
      <c r="K13" s="330">
        <v>0</v>
      </c>
      <c r="L13" s="328">
        <f t="shared" si="1"/>
        <v>195</v>
      </c>
      <c r="M13" s="328">
        <f t="shared" si="2"/>
        <v>0</v>
      </c>
      <c r="N13" s="328"/>
    </row>
    <row r="14" spans="1:19" s="14" customFormat="1" x14ac:dyDescent="0.2">
      <c r="A14" s="8">
        <v>4</v>
      </c>
      <c r="B14" s="184" t="s">
        <v>878</v>
      </c>
      <c r="C14" s="328">
        <v>498</v>
      </c>
      <c r="D14" s="329">
        <v>64</v>
      </c>
      <c r="E14" s="329">
        <v>0</v>
      </c>
      <c r="F14" s="330">
        <v>1</v>
      </c>
      <c r="G14" s="328">
        <f t="shared" si="0"/>
        <v>563</v>
      </c>
      <c r="H14" s="328">
        <v>498</v>
      </c>
      <c r="I14" s="329">
        <v>64</v>
      </c>
      <c r="J14" s="329">
        <v>0</v>
      </c>
      <c r="K14" s="330">
        <v>1</v>
      </c>
      <c r="L14" s="328">
        <f t="shared" si="1"/>
        <v>563</v>
      </c>
      <c r="M14" s="328">
        <f t="shared" si="2"/>
        <v>0</v>
      </c>
      <c r="N14" s="328"/>
    </row>
    <row r="15" spans="1:19" s="14" customFormat="1" x14ac:dyDescent="0.2">
      <c r="A15" s="8">
        <v>5</v>
      </c>
      <c r="B15" s="184" t="s">
        <v>879</v>
      </c>
      <c r="C15" s="328">
        <v>285</v>
      </c>
      <c r="D15" s="329">
        <v>59</v>
      </c>
      <c r="E15" s="329">
        <v>0</v>
      </c>
      <c r="F15" s="330">
        <v>0</v>
      </c>
      <c r="G15" s="328">
        <f t="shared" si="0"/>
        <v>344</v>
      </c>
      <c r="H15" s="328">
        <v>285</v>
      </c>
      <c r="I15" s="329">
        <v>59</v>
      </c>
      <c r="J15" s="329">
        <v>0</v>
      </c>
      <c r="K15" s="330">
        <v>0</v>
      </c>
      <c r="L15" s="328">
        <f t="shared" si="1"/>
        <v>344</v>
      </c>
      <c r="M15" s="328">
        <f t="shared" si="2"/>
        <v>0</v>
      </c>
      <c r="N15" s="328"/>
    </row>
    <row r="16" spans="1:19" s="14" customFormat="1" ht="22.5" x14ac:dyDescent="0.2">
      <c r="A16" s="8">
        <v>6</v>
      </c>
      <c r="B16" s="184" t="s">
        <v>880</v>
      </c>
      <c r="C16" s="328">
        <v>578</v>
      </c>
      <c r="D16" s="329">
        <v>46</v>
      </c>
      <c r="E16" s="329">
        <v>0</v>
      </c>
      <c r="F16" s="330">
        <v>2</v>
      </c>
      <c r="G16" s="328">
        <f t="shared" si="0"/>
        <v>626</v>
      </c>
      <c r="H16" s="328">
        <v>578</v>
      </c>
      <c r="I16" s="329">
        <v>46</v>
      </c>
      <c r="J16" s="329">
        <v>0</v>
      </c>
      <c r="K16" s="330">
        <v>1</v>
      </c>
      <c r="L16" s="328">
        <f t="shared" si="1"/>
        <v>625</v>
      </c>
      <c r="M16" s="328">
        <f t="shared" si="2"/>
        <v>1</v>
      </c>
      <c r="N16" s="331" t="s">
        <v>1059</v>
      </c>
    </row>
    <row r="17" spans="1:14" s="14" customFormat="1" x14ac:dyDescent="0.2">
      <c r="A17" s="8">
        <v>7</v>
      </c>
      <c r="B17" s="184" t="s">
        <v>881</v>
      </c>
      <c r="C17" s="328">
        <v>551</v>
      </c>
      <c r="D17" s="329">
        <v>0</v>
      </c>
      <c r="E17" s="329">
        <v>0</v>
      </c>
      <c r="F17" s="330">
        <v>0</v>
      </c>
      <c r="G17" s="328">
        <f t="shared" si="0"/>
        <v>551</v>
      </c>
      <c r="H17" s="328">
        <v>551</v>
      </c>
      <c r="I17" s="329">
        <v>0</v>
      </c>
      <c r="J17" s="329">
        <v>0</v>
      </c>
      <c r="K17" s="330">
        <v>0</v>
      </c>
      <c r="L17" s="328">
        <f t="shared" si="1"/>
        <v>551</v>
      </c>
      <c r="M17" s="328">
        <f t="shared" si="2"/>
        <v>0</v>
      </c>
      <c r="N17" s="328"/>
    </row>
    <row r="18" spans="1:14" s="14" customFormat="1" x14ac:dyDescent="0.2">
      <c r="A18" s="8">
        <v>8</v>
      </c>
      <c r="B18" s="184" t="s">
        <v>882</v>
      </c>
      <c r="C18" s="328">
        <v>644</v>
      </c>
      <c r="D18" s="329">
        <v>23</v>
      </c>
      <c r="E18" s="329">
        <v>0</v>
      </c>
      <c r="F18" s="330">
        <v>1</v>
      </c>
      <c r="G18" s="328">
        <f t="shared" si="0"/>
        <v>668</v>
      </c>
      <c r="H18" s="328">
        <v>644</v>
      </c>
      <c r="I18" s="329">
        <v>23</v>
      </c>
      <c r="J18" s="329">
        <v>0</v>
      </c>
      <c r="K18" s="330">
        <v>1</v>
      </c>
      <c r="L18" s="328">
        <f t="shared" si="1"/>
        <v>668</v>
      </c>
      <c r="M18" s="328">
        <f t="shared" si="2"/>
        <v>0</v>
      </c>
      <c r="N18" s="328"/>
    </row>
    <row r="19" spans="1:14" s="14" customFormat="1" x14ac:dyDescent="0.2">
      <c r="A19" s="8">
        <v>9</v>
      </c>
      <c r="B19" s="184" t="s">
        <v>883</v>
      </c>
      <c r="C19" s="328">
        <v>1287</v>
      </c>
      <c r="D19" s="329">
        <v>3</v>
      </c>
      <c r="E19" s="329">
        <v>0</v>
      </c>
      <c r="F19" s="330">
        <v>3</v>
      </c>
      <c r="G19" s="328">
        <f t="shared" si="0"/>
        <v>1293</v>
      </c>
      <c r="H19" s="328">
        <v>1287</v>
      </c>
      <c r="I19" s="329">
        <v>3</v>
      </c>
      <c r="J19" s="329">
        <v>0</v>
      </c>
      <c r="K19" s="330">
        <v>3</v>
      </c>
      <c r="L19" s="328">
        <f t="shared" si="1"/>
        <v>1293</v>
      </c>
      <c r="M19" s="328">
        <f t="shared" si="2"/>
        <v>0</v>
      </c>
      <c r="N19" s="328"/>
    </row>
    <row r="20" spans="1:14" s="14" customFormat="1" x14ac:dyDescent="0.2">
      <c r="A20" s="8">
        <v>10</v>
      </c>
      <c r="B20" s="184" t="s">
        <v>884</v>
      </c>
      <c r="C20" s="328">
        <v>394</v>
      </c>
      <c r="D20" s="329">
        <v>6</v>
      </c>
      <c r="E20" s="329">
        <v>0</v>
      </c>
      <c r="F20" s="330">
        <v>0</v>
      </c>
      <c r="G20" s="328">
        <f t="shared" si="0"/>
        <v>400</v>
      </c>
      <c r="H20" s="328">
        <v>394</v>
      </c>
      <c r="I20" s="329">
        <v>6</v>
      </c>
      <c r="J20" s="329">
        <v>0</v>
      </c>
      <c r="K20" s="330">
        <v>0</v>
      </c>
      <c r="L20" s="328">
        <f t="shared" si="1"/>
        <v>400</v>
      </c>
      <c r="M20" s="328">
        <f t="shared" si="2"/>
        <v>0</v>
      </c>
      <c r="N20" s="328"/>
    </row>
    <row r="21" spans="1:14" s="14" customFormat="1" x14ac:dyDescent="0.2">
      <c r="A21" s="8">
        <v>11</v>
      </c>
      <c r="B21" s="184" t="s">
        <v>885</v>
      </c>
      <c r="C21" s="328">
        <v>435</v>
      </c>
      <c r="D21" s="329">
        <v>4</v>
      </c>
      <c r="E21" s="329">
        <v>0</v>
      </c>
      <c r="F21" s="330">
        <v>1</v>
      </c>
      <c r="G21" s="328">
        <f t="shared" si="0"/>
        <v>440</v>
      </c>
      <c r="H21" s="328">
        <v>435</v>
      </c>
      <c r="I21" s="329">
        <v>4</v>
      </c>
      <c r="J21" s="329">
        <v>0</v>
      </c>
      <c r="K21" s="330">
        <v>1</v>
      </c>
      <c r="L21" s="328">
        <f t="shared" si="1"/>
        <v>440</v>
      </c>
      <c r="M21" s="328">
        <f t="shared" si="2"/>
        <v>0</v>
      </c>
      <c r="N21" s="328"/>
    </row>
    <row r="22" spans="1:14" s="14" customFormat="1" x14ac:dyDescent="0.2">
      <c r="A22" s="8">
        <v>12</v>
      </c>
      <c r="B22" s="241" t="s">
        <v>886</v>
      </c>
      <c r="C22" s="328">
        <v>555</v>
      </c>
      <c r="D22" s="329">
        <v>9</v>
      </c>
      <c r="E22" s="329">
        <v>0</v>
      </c>
      <c r="F22" s="330">
        <v>6</v>
      </c>
      <c r="G22" s="328">
        <f t="shared" si="0"/>
        <v>570</v>
      </c>
      <c r="H22" s="328">
        <v>555</v>
      </c>
      <c r="I22" s="329">
        <v>9</v>
      </c>
      <c r="J22" s="329">
        <v>0</v>
      </c>
      <c r="K22" s="330">
        <v>6</v>
      </c>
      <c r="L22" s="328">
        <f t="shared" si="1"/>
        <v>570</v>
      </c>
      <c r="M22" s="328">
        <f t="shared" si="2"/>
        <v>0</v>
      </c>
      <c r="N22" s="328"/>
    </row>
    <row r="23" spans="1:14" s="14" customFormat="1" x14ac:dyDescent="0.2">
      <c r="A23" s="8">
        <v>13</v>
      </c>
      <c r="B23" s="184" t="s">
        <v>887</v>
      </c>
      <c r="C23" s="328">
        <v>238</v>
      </c>
      <c r="D23" s="329">
        <v>1</v>
      </c>
      <c r="E23" s="329">
        <v>0</v>
      </c>
      <c r="F23" s="330">
        <v>1</v>
      </c>
      <c r="G23" s="328">
        <f t="shared" si="0"/>
        <v>240</v>
      </c>
      <c r="H23" s="328">
        <v>238</v>
      </c>
      <c r="I23" s="329">
        <v>1</v>
      </c>
      <c r="J23" s="329">
        <v>0</v>
      </c>
      <c r="K23" s="330">
        <v>1</v>
      </c>
      <c r="L23" s="328">
        <f t="shared" si="1"/>
        <v>240</v>
      </c>
      <c r="M23" s="328">
        <f t="shared" si="2"/>
        <v>0</v>
      </c>
      <c r="N23" s="328"/>
    </row>
    <row r="24" spans="1:14" s="14" customFormat="1" x14ac:dyDescent="0.2">
      <c r="A24" s="8">
        <v>14</v>
      </c>
      <c r="B24" s="184" t="s">
        <v>888</v>
      </c>
      <c r="C24" s="328">
        <v>288</v>
      </c>
      <c r="D24" s="329">
        <v>3</v>
      </c>
      <c r="E24" s="329">
        <v>0</v>
      </c>
      <c r="F24" s="330">
        <v>5</v>
      </c>
      <c r="G24" s="328">
        <f t="shared" si="0"/>
        <v>296</v>
      </c>
      <c r="H24" s="328">
        <v>288</v>
      </c>
      <c r="I24" s="329">
        <v>3</v>
      </c>
      <c r="J24" s="329">
        <v>0</v>
      </c>
      <c r="K24" s="330">
        <v>5</v>
      </c>
      <c r="L24" s="328">
        <f t="shared" si="1"/>
        <v>296</v>
      </c>
      <c r="M24" s="328">
        <f t="shared" si="2"/>
        <v>0</v>
      </c>
      <c r="N24" s="328"/>
    </row>
    <row r="25" spans="1:14" x14ac:dyDescent="0.2">
      <c r="A25" s="8">
        <v>15</v>
      </c>
      <c r="B25" s="184" t="s">
        <v>889</v>
      </c>
      <c r="C25" s="329">
        <v>638</v>
      </c>
      <c r="D25" s="329">
        <v>1</v>
      </c>
      <c r="E25" s="329">
        <v>0</v>
      </c>
      <c r="F25" s="330">
        <v>3</v>
      </c>
      <c r="G25" s="328">
        <f t="shared" si="0"/>
        <v>642</v>
      </c>
      <c r="H25" s="329">
        <v>638</v>
      </c>
      <c r="I25" s="329">
        <v>1</v>
      </c>
      <c r="J25" s="329">
        <v>0</v>
      </c>
      <c r="K25" s="330">
        <v>3</v>
      </c>
      <c r="L25" s="328">
        <f t="shared" si="1"/>
        <v>642</v>
      </c>
      <c r="M25" s="328">
        <f t="shared" si="2"/>
        <v>0</v>
      </c>
      <c r="N25" s="329"/>
    </row>
    <row r="26" spans="1:14" x14ac:dyDescent="0.2">
      <c r="A26" s="8">
        <v>16</v>
      </c>
      <c r="B26" s="184" t="s">
        <v>890</v>
      </c>
      <c r="C26" s="329">
        <v>1205</v>
      </c>
      <c r="D26" s="329">
        <v>22</v>
      </c>
      <c r="E26" s="329">
        <v>0</v>
      </c>
      <c r="F26" s="330">
        <v>7</v>
      </c>
      <c r="G26" s="328">
        <f t="shared" si="0"/>
        <v>1234</v>
      </c>
      <c r="H26" s="329">
        <v>1205</v>
      </c>
      <c r="I26" s="329">
        <v>22</v>
      </c>
      <c r="J26" s="329">
        <v>0</v>
      </c>
      <c r="K26" s="330">
        <v>7</v>
      </c>
      <c r="L26" s="328">
        <f t="shared" si="1"/>
        <v>1234</v>
      </c>
      <c r="M26" s="328">
        <f t="shared" si="2"/>
        <v>0</v>
      </c>
      <c r="N26" s="329"/>
    </row>
    <row r="27" spans="1:14" x14ac:dyDescent="0.2">
      <c r="A27" s="8">
        <v>17</v>
      </c>
      <c r="B27" s="184" t="s">
        <v>891</v>
      </c>
      <c r="C27" s="329">
        <v>587</v>
      </c>
      <c r="D27" s="329">
        <v>12</v>
      </c>
      <c r="E27" s="329">
        <v>0</v>
      </c>
      <c r="F27" s="330">
        <v>2</v>
      </c>
      <c r="G27" s="328">
        <f t="shared" si="0"/>
        <v>601</v>
      </c>
      <c r="H27" s="329">
        <v>587</v>
      </c>
      <c r="I27" s="329">
        <v>12</v>
      </c>
      <c r="J27" s="329">
        <v>0</v>
      </c>
      <c r="K27" s="330">
        <v>2</v>
      </c>
      <c r="L27" s="328">
        <f t="shared" si="1"/>
        <v>601</v>
      </c>
      <c r="M27" s="328">
        <f t="shared" si="2"/>
        <v>0</v>
      </c>
      <c r="N27" s="329"/>
    </row>
    <row r="28" spans="1:14" x14ac:dyDescent="0.2">
      <c r="A28" s="8">
        <v>18</v>
      </c>
      <c r="B28" s="184" t="s">
        <v>892</v>
      </c>
      <c r="C28" s="329">
        <v>529</v>
      </c>
      <c r="D28" s="329">
        <v>1</v>
      </c>
      <c r="E28" s="329">
        <v>0</v>
      </c>
      <c r="F28" s="330">
        <v>0</v>
      </c>
      <c r="G28" s="328">
        <f t="shared" si="0"/>
        <v>530</v>
      </c>
      <c r="H28" s="329">
        <v>529</v>
      </c>
      <c r="I28" s="329">
        <v>1</v>
      </c>
      <c r="J28" s="329">
        <v>0</v>
      </c>
      <c r="K28" s="330">
        <v>0</v>
      </c>
      <c r="L28" s="328">
        <f t="shared" si="1"/>
        <v>530</v>
      </c>
      <c r="M28" s="328">
        <f t="shared" si="2"/>
        <v>0</v>
      </c>
      <c r="N28" s="329"/>
    </row>
    <row r="29" spans="1:14" x14ac:dyDescent="0.2">
      <c r="A29" s="8">
        <v>19</v>
      </c>
      <c r="B29" s="184" t="s">
        <v>893</v>
      </c>
      <c r="C29" s="329">
        <v>795</v>
      </c>
      <c r="D29" s="329">
        <v>5</v>
      </c>
      <c r="E29" s="329">
        <v>0</v>
      </c>
      <c r="F29" s="330">
        <v>2</v>
      </c>
      <c r="G29" s="328">
        <f t="shared" si="0"/>
        <v>802</v>
      </c>
      <c r="H29" s="329">
        <v>795</v>
      </c>
      <c r="I29" s="329">
        <v>5</v>
      </c>
      <c r="J29" s="329">
        <v>0</v>
      </c>
      <c r="K29" s="330">
        <v>2</v>
      </c>
      <c r="L29" s="328">
        <f t="shared" si="1"/>
        <v>802</v>
      </c>
      <c r="M29" s="328">
        <f t="shared" si="2"/>
        <v>0</v>
      </c>
      <c r="N29" s="329"/>
    </row>
    <row r="30" spans="1:14" x14ac:dyDescent="0.2">
      <c r="A30" s="8">
        <v>20</v>
      </c>
      <c r="B30" s="184" t="s">
        <v>894</v>
      </c>
      <c r="C30" s="329">
        <v>410</v>
      </c>
      <c r="D30" s="329">
        <v>1</v>
      </c>
      <c r="E30" s="329">
        <v>0</v>
      </c>
      <c r="F30" s="330">
        <v>2</v>
      </c>
      <c r="G30" s="328">
        <f t="shared" si="0"/>
        <v>413</v>
      </c>
      <c r="H30" s="329">
        <v>410</v>
      </c>
      <c r="I30" s="329">
        <v>1</v>
      </c>
      <c r="J30" s="329">
        <v>0</v>
      </c>
      <c r="K30" s="330">
        <v>2</v>
      </c>
      <c r="L30" s="328">
        <f t="shared" si="1"/>
        <v>413</v>
      </c>
      <c r="M30" s="328">
        <f t="shared" si="2"/>
        <v>0</v>
      </c>
      <c r="N30" s="329"/>
    </row>
    <row r="31" spans="1:14" x14ac:dyDescent="0.2">
      <c r="A31" s="8">
        <v>21</v>
      </c>
      <c r="B31" s="184" t="s">
        <v>895</v>
      </c>
      <c r="C31" s="329">
        <v>466</v>
      </c>
      <c r="D31" s="329">
        <v>7</v>
      </c>
      <c r="E31" s="329">
        <v>0</v>
      </c>
      <c r="F31" s="330">
        <v>43</v>
      </c>
      <c r="G31" s="328">
        <f t="shared" si="0"/>
        <v>516</v>
      </c>
      <c r="H31" s="329">
        <v>466</v>
      </c>
      <c r="I31" s="329">
        <v>7</v>
      </c>
      <c r="J31" s="329">
        <v>0</v>
      </c>
      <c r="K31" s="330">
        <v>43</v>
      </c>
      <c r="L31" s="328">
        <f t="shared" si="1"/>
        <v>516</v>
      </c>
      <c r="M31" s="328">
        <f t="shared" si="2"/>
        <v>0</v>
      </c>
      <c r="N31" s="329"/>
    </row>
    <row r="32" spans="1:14" x14ac:dyDescent="0.2">
      <c r="A32" s="8">
        <v>22</v>
      </c>
      <c r="B32" s="184" t="s">
        <v>896</v>
      </c>
      <c r="C32" s="329">
        <v>343</v>
      </c>
      <c r="D32" s="329">
        <v>5</v>
      </c>
      <c r="E32" s="329">
        <v>0</v>
      </c>
      <c r="F32" s="330">
        <v>27</v>
      </c>
      <c r="G32" s="328">
        <f t="shared" si="0"/>
        <v>375</v>
      </c>
      <c r="H32" s="18">
        <v>343</v>
      </c>
      <c r="I32" s="18">
        <v>5</v>
      </c>
      <c r="J32" s="18">
        <v>0</v>
      </c>
      <c r="K32" s="18">
        <v>27</v>
      </c>
      <c r="L32" s="328">
        <f t="shared" si="1"/>
        <v>375</v>
      </c>
      <c r="M32" s="328">
        <f t="shared" si="2"/>
        <v>0</v>
      </c>
      <c r="N32" s="329"/>
    </row>
    <row r="33" spans="1:16" x14ac:dyDescent="0.2">
      <c r="A33" s="8">
        <v>23</v>
      </c>
      <c r="B33" s="184" t="s">
        <v>897</v>
      </c>
      <c r="C33" s="329">
        <v>544</v>
      </c>
      <c r="D33" s="329">
        <v>3</v>
      </c>
      <c r="E33" s="329">
        <v>0</v>
      </c>
      <c r="F33" s="330">
        <v>67</v>
      </c>
      <c r="G33" s="328">
        <f t="shared" si="0"/>
        <v>614</v>
      </c>
      <c r="H33" s="329">
        <v>544</v>
      </c>
      <c r="I33" s="329">
        <v>3</v>
      </c>
      <c r="J33" s="329">
        <v>0</v>
      </c>
      <c r="K33" s="330">
        <v>67</v>
      </c>
      <c r="L33" s="328">
        <f t="shared" si="1"/>
        <v>614</v>
      </c>
      <c r="M33" s="328">
        <f t="shared" si="2"/>
        <v>0</v>
      </c>
      <c r="N33" s="329"/>
    </row>
    <row r="34" spans="1:16" x14ac:dyDescent="0.2">
      <c r="A34" s="8">
        <v>24</v>
      </c>
      <c r="B34" s="184" t="s">
        <v>898</v>
      </c>
      <c r="C34" s="329">
        <v>626</v>
      </c>
      <c r="D34" s="329">
        <v>5</v>
      </c>
      <c r="E34" s="329">
        <v>0</v>
      </c>
      <c r="F34" s="330">
        <v>2</v>
      </c>
      <c r="G34" s="328">
        <f t="shared" si="0"/>
        <v>633</v>
      </c>
      <c r="H34" s="329">
        <v>626</v>
      </c>
      <c r="I34" s="329">
        <v>5</v>
      </c>
      <c r="J34" s="329">
        <v>0</v>
      </c>
      <c r="K34" s="330">
        <v>2</v>
      </c>
      <c r="L34" s="328">
        <f t="shared" si="1"/>
        <v>633</v>
      </c>
      <c r="M34" s="328">
        <f t="shared" si="2"/>
        <v>0</v>
      </c>
      <c r="N34" s="329"/>
    </row>
    <row r="35" spans="1:16" s="14" customFormat="1" x14ac:dyDescent="0.2">
      <c r="A35" s="733" t="s">
        <v>15</v>
      </c>
      <c r="B35" s="735"/>
      <c r="C35" s="318">
        <f>SUM(C11:C34)</f>
        <v>13094</v>
      </c>
      <c r="D35" s="318">
        <f>SUM(D11:D34)</f>
        <v>370</v>
      </c>
      <c r="E35" s="318">
        <f>SUM(E11:E34)</f>
        <v>0</v>
      </c>
      <c r="F35" s="318">
        <f>SUM(F11:F34)</f>
        <v>177</v>
      </c>
      <c r="G35" s="318">
        <f>SUM(C35:F35)</f>
        <v>13641</v>
      </c>
      <c r="H35" s="318">
        <f>SUM(H11:H34)</f>
        <v>13094</v>
      </c>
      <c r="I35" s="318">
        <f>SUM(I11:I34)</f>
        <v>370</v>
      </c>
      <c r="J35" s="318">
        <f>SUM(J11:J34)</f>
        <v>0</v>
      </c>
      <c r="K35" s="318">
        <f>SUM(K11:K34)</f>
        <v>176</v>
      </c>
      <c r="L35" s="318">
        <f>SUM(H35:K35)</f>
        <v>13640</v>
      </c>
      <c r="M35" s="332">
        <f t="shared" si="2"/>
        <v>1</v>
      </c>
      <c r="N35" s="318"/>
      <c r="P35" s="14">
        <f>L35+'AT3C_cvrg(Insti)_UPY '!L35</f>
        <v>13935</v>
      </c>
    </row>
    <row r="36" spans="1:16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6" x14ac:dyDescent="0.2">
      <c r="A37" s="10" t="s">
        <v>7</v>
      </c>
    </row>
    <row r="38" spans="1:16" x14ac:dyDescent="0.2">
      <c r="A38" t="s">
        <v>8</v>
      </c>
    </row>
    <row r="39" spans="1:16" x14ac:dyDescent="0.2">
      <c r="A39" t="s">
        <v>9</v>
      </c>
      <c r="L39" s="11" t="s">
        <v>10</v>
      </c>
      <c r="M39" s="11"/>
      <c r="N39" s="11" t="s">
        <v>10</v>
      </c>
    </row>
    <row r="40" spans="1:16" x14ac:dyDescent="0.2">
      <c r="A40" s="15" t="s">
        <v>422</v>
      </c>
      <c r="J40" s="11"/>
      <c r="K40" s="11"/>
      <c r="L40" s="11"/>
    </row>
    <row r="41" spans="1:16" x14ac:dyDescent="0.2">
      <c r="C41" s="15" t="s">
        <v>423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6" x14ac:dyDescent="0.2"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6" ht="15.75" x14ac:dyDescent="0.25">
      <c r="A43" s="674" t="s">
        <v>11</v>
      </c>
      <c r="B43" s="674"/>
      <c r="C43" s="674"/>
      <c r="D43" s="674"/>
      <c r="E43" s="674"/>
      <c r="F43" s="674"/>
      <c r="G43" s="674"/>
      <c r="H43" s="674"/>
      <c r="I43" s="669"/>
      <c r="J43" s="669"/>
      <c r="K43" s="669"/>
      <c r="L43" s="873" t="s">
        <v>1107</v>
      </c>
      <c r="M43" s="873"/>
      <c r="N43" s="873"/>
    </row>
    <row r="44" spans="1:16" ht="15.75" customHeight="1" x14ac:dyDescent="0.2">
      <c r="A44" s="873" t="s">
        <v>1108</v>
      </c>
      <c r="B44" s="873"/>
      <c r="C44" s="873"/>
      <c r="D44" s="873"/>
      <c r="E44" s="873"/>
      <c r="F44" s="873"/>
      <c r="G44" s="873"/>
      <c r="H44" s="873"/>
      <c r="I44" s="873"/>
      <c r="J44" s="873"/>
      <c r="K44" s="873"/>
      <c r="L44" s="873"/>
      <c r="M44" s="873"/>
      <c r="N44" s="873"/>
    </row>
    <row r="45" spans="1:16" ht="15.75" customHeight="1" x14ac:dyDescent="0.2">
      <c r="A45" s="873" t="s">
        <v>1112</v>
      </c>
      <c r="B45" s="873"/>
      <c r="C45" s="873"/>
      <c r="D45" s="873"/>
      <c r="E45" s="873"/>
      <c r="F45" s="873"/>
      <c r="G45" s="873"/>
      <c r="H45" s="873"/>
      <c r="I45" s="873"/>
      <c r="J45" s="873"/>
      <c r="K45" s="873"/>
      <c r="L45" s="873"/>
      <c r="M45" s="873"/>
      <c r="N45" s="873"/>
    </row>
    <row r="46" spans="1:16" ht="15.75" customHeight="1" x14ac:dyDescent="0.2">
      <c r="A46" s="669"/>
      <c r="B46" s="669"/>
      <c r="C46" s="669"/>
      <c r="D46" s="669"/>
      <c r="E46" s="669"/>
      <c r="F46" s="669"/>
      <c r="G46" s="669"/>
      <c r="H46" s="669"/>
      <c r="I46" s="669"/>
      <c r="J46" s="669"/>
      <c r="K46" s="669"/>
      <c r="L46" s="756"/>
      <c r="M46" s="756"/>
      <c r="N46" s="756"/>
    </row>
    <row r="47" spans="1:16" x14ac:dyDescent="0.2">
      <c r="A47" s="876"/>
      <c r="B47" s="876"/>
      <c r="C47" s="876"/>
      <c r="D47" s="876"/>
      <c r="E47" s="876"/>
      <c r="F47" s="876"/>
      <c r="G47" s="876"/>
      <c r="H47" s="876"/>
      <c r="I47" s="876"/>
      <c r="J47" s="876"/>
      <c r="K47" s="876"/>
      <c r="L47" s="876"/>
      <c r="M47" s="876"/>
      <c r="N47" s="876"/>
    </row>
  </sheetData>
  <mergeCells count="18">
    <mergeCell ref="H8:L8"/>
    <mergeCell ref="L43:N43"/>
    <mergeCell ref="D1:J1"/>
    <mergeCell ref="A2:N2"/>
    <mergeCell ref="A3:N3"/>
    <mergeCell ref="A5:N5"/>
    <mergeCell ref="L7:N7"/>
    <mergeCell ref="A7:B7"/>
    <mergeCell ref="A44:N44"/>
    <mergeCell ref="A45:N45"/>
    <mergeCell ref="A47:N47"/>
    <mergeCell ref="M8:M9"/>
    <mergeCell ref="N8:N9"/>
    <mergeCell ref="A8:A9"/>
    <mergeCell ref="B8:B9"/>
    <mergeCell ref="C8:G8"/>
    <mergeCell ref="A35:B35"/>
    <mergeCell ref="L46:N4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75</vt:i4>
      </vt:variant>
      <vt:variant>
        <vt:lpstr>Named Ranges</vt:lpstr>
      </vt:variant>
      <vt:variant>
        <vt:i4>72</vt:i4>
      </vt:variant>
    </vt:vector>
  </HeadingPairs>
  <TitlesOfParts>
    <vt:vector size="147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 (2)</vt:lpstr>
      <vt:lpstr>T6A_FG_Upy_Utlsn  (2)</vt:lpstr>
      <vt:lpstr>T6B_Pay_FG_FCI_Pry</vt:lpstr>
      <vt:lpstr>T6C_Coarse_Grain</vt:lpstr>
      <vt:lpstr>T7_CC_PY_Utlsn (2)</vt:lpstr>
      <vt:lpstr>T7ACC_UPY_Utlsn  (2)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 (2)</vt:lpstr>
      <vt:lpstr>AT32_Drought Pry Util</vt:lpstr>
      <vt:lpstr>AT-32A Drought UPry Util</vt:lpstr>
      <vt:lpstr>Sheet2</vt:lpstr>
      <vt:lpstr>Sheet2 (2)</vt:lpstr>
      <vt:lpstr>Merger</vt:lpstr>
      <vt:lpstr>Proposal Regular</vt:lpstr>
      <vt:lpstr>Proposal Drought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 (2)'!Print_Area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'AT-21'!Print_Area</vt:lpstr>
      <vt:lpstr>'AT-22'!Print_Area</vt:lpstr>
      <vt:lpstr>'AT-23 MIS'!Print_Area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'First-Page'!Print_Area</vt:lpstr>
      <vt:lpstr>Merger!Print_Area</vt:lpstr>
      <vt:lpstr>'Mode of cooking'!Print_Area</vt:lpstr>
      <vt:lpstr>Sheet1!Print_Area</vt:lpstr>
      <vt:lpstr>'Sheet1 (2)'!Print_Area</vt:lpstr>
      <vt:lpstr>Sheet2!Print_Area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'T6_FG_py_Utlsn (2)'!Print_Area</vt:lpstr>
      <vt:lpstr>'T6A_FG_Upy_Utlsn  (2)'!Print_Area</vt:lpstr>
      <vt:lpstr>T6B_Pay_FG_FCI_Pry!Print_Area</vt:lpstr>
      <vt:lpstr>T6C_Coarse_Grain!Print_Area</vt:lpstr>
      <vt:lpstr>'T7_CC_PY_Utlsn (2)'!Print_Area</vt:lpstr>
      <vt:lpstr>'T7ACC_UPY_Utlsn 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2019-05-15T11:44:42Z</cp:lastPrinted>
  <dcterms:created xsi:type="dcterms:W3CDTF">1996-10-14T23:33:28Z</dcterms:created>
  <dcterms:modified xsi:type="dcterms:W3CDTF">2019-07-05T10:42:18Z</dcterms:modified>
</cp:coreProperties>
</file>